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320" windowHeight="12120" firstSheet="4" activeTab="9"/>
  </bookViews>
  <sheets>
    <sheet name="общ. Бак.13 без норм." sheetId="26" r:id="rId1"/>
    <sheet name="общ. Ком.6 без норм." sheetId="25" r:id="rId2"/>
    <sheet name="КПД- 1,2 эт." sheetId="4" r:id="rId3"/>
    <sheet name="КПД до 1999" sheetId="13" r:id="rId4"/>
    <sheet name="КПД после 1999" sheetId="15" r:id="rId5"/>
    <sheet name="ДЖД" sheetId="17" r:id="rId6"/>
    <sheet name="балки длина 1550" sheetId="14" r:id="rId7"/>
    <sheet name="вагон-городок с мойками" sheetId="18" r:id="rId8"/>
    <sheet name="вагон-городок с сид.ваннами" sheetId="19" r:id="rId9"/>
    <sheet name="частный сектор" sheetId="21" r:id="rId10"/>
  </sheets>
  <definedNames>
    <definedName name="_xlnm.Print_Area" localSheetId="1">'общ. Ком.6 без норм.'!$A$1:$M$29</definedName>
  </definedNames>
  <calcPr calcId="145621" iterateDelta="0"/>
</workbook>
</file>

<file path=xl/calcChain.xml><?xml version="1.0" encoding="utf-8"?>
<calcChain xmlns="http://schemas.openxmlformats.org/spreadsheetml/2006/main">
  <c r="K14" i="26" l="1"/>
  <c r="J14" i="26"/>
  <c r="K11" i="26"/>
  <c r="J11" i="26"/>
  <c r="K15" i="26" l="1"/>
  <c r="K24" i="26" s="1"/>
  <c r="J24" i="26"/>
  <c r="K20" i="26"/>
  <c r="L19" i="26" s="1"/>
  <c r="J20" i="26"/>
  <c r="M19" i="26"/>
  <c r="I19" i="26"/>
  <c r="M17" i="26"/>
  <c r="K17" i="26"/>
  <c r="J17" i="26"/>
  <c r="I17" i="26"/>
  <c r="M15" i="26"/>
  <c r="J15" i="26"/>
  <c r="L15" i="26" s="1"/>
  <c r="I15" i="26"/>
  <c r="L12" i="26"/>
  <c r="K12" i="26"/>
  <c r="J12" i="26"/>
  <c r="I12" i="26"/>
  <c r="M11" i="26"/>
  <c r="I11" i="26"/>
  <c r="M9" i="26"/>
  <c r="K9" i="26"/>
  <c r="L9" i="26" s="1"/>
  <c r="J9" i="26"/>
  <c r="I9" i="26"/>
  <c r="K20" i="25"/>
  <c r="L19" i="25" s="1"/>
  <c r="J20" i="25"/>
  <c r="M19" i="25"/>
  <c r="I19" i="25"/>
  <c r="M17" i="25"/>
  <c r="K17" i="25"/>
  <c r="J17" i="25"/>
  <c r="I17" i="25"/>
  <c r="K16" i="25"/>
  <c r="L15" i="25" s="1"/>
  <c r="J16" i="25"/>
  <c r="M15" i="25"/>
  <c r="I15" i="25"/>
  <c r="M11" i="25"/>
  <c r="I11" i="25"/>
  <c r="K10" i="25"/>
  <c r="K24" i="25" s="1"/>
  <c r="J10" i="25"/>
  <c r="J24" i="25" s="1"/>
  <c r="C28" i="25" s="1"/>
  <c r="M9" i="25"/>
  <c r="K9" i="25"/>
  <c r="J9" i="25"/>
  <c r="L9" i="25" s="1"/>
  <c r="I9" i="25"/>
  <c r="K24" i="21"/>
  <c r="J24" i="21"/>
  <c r="K20" i="21"/>
  <c r="J20" i="21"/>
  <c r="K18" i="21"/>
  <c r="J18" i="21"/>
  <c r="K17" i="21"/>
  <c r="J17" i="21"/>
  <c r="K16" i="21"/>
  <c r="J16" i="21"/>
  <c r="K15" i="21"/>
  <c r="J15" i="21"/>
  <c r="K13" i="21"/>
  <c r="J13" i="21"/>
  <c r="K12" i="21"/>
  <c r="J12" i="21"/>
  <c r="K10" i="21"/>
  <c r="J10" i="21"/>
  <c r="K9" i="21"/>
  <c r="J9" i="21"/>
  <c r="K20" i="19"/>
  <c r="J20" i="19"/>
  <c r="K17" i="19"/>
  <c r="J17" i="19"/>
  <c r="K13" i="19"/>
  <c r="J13" i="19"/>
  <c r="K12" i="19"/>
  <c r="J12" i="19"/>
  <c r="K9" i="19"/>
  <c r="J9" i="19"/>
  <c r="K13" i="18"/>
  <c r="K24" i="18" s="1"/>
  <c r="J13" i="18"/>
  <c r="J24" i="18" s="1"/>
  <c r="K20" i="18"/>
  <c r="J20" i="18"/>
  <c r="K17" i="18"/>
  <c r="J17" i="18"/>
  <c r="K9" i="18"/>
  <c r="J9" i="18"/>
  <c r="K20" i="14"/>
  <c r="J20" i="14"/>
  <c r="K17" i="14"/>
  <c r="J17" i="14"/>
  <c r="K13" i="14"/>
  <c r="J13" i="14"/>
  <c r="K12" i="14"/>
  <c r="J12" i="14"/>
  <c r="K10" i="14"/>
  <c r="J10" i="14"/>
  <c r="K9" i="14"/>
  <c r="J9" i="14"/>
  <c r="K24" i="17"/>
  <c r="J24" i="17"/>
  <c r="K20" i="17"/>
  <c r="J20" i="17"/>
  <c r="K17" i="17"/>
  <c r="J17" i="17"/>
  <c r="K16" i="17"/>
  <c r="J16" i="17"/>
  <c r="K13" i="17"/>
  <c r="J13" i="17"/>
  <c r="K10" i="17"/>
  <c r="J10" i="17"/>
  <c r="K24" i="15"/>
  <c r="J24" i="15"/>
  <c r="K20" i="15"/>
  <c r="J20" i="15"/>
  <c r="K18" i="15"/>
  <c r="J18" i="15"/>
  <c r="K16" i="15"/>
  <c r="J16" i="15"/>
  <c r="K13" i="15"/>
  <c r="J13" i="15"/>
  <c r="K10" i="15"/>
  <c r="J10" i="15"/>
  <c r="K24" i="13"/>
  <c r="J24" i="13"/>
  <c r="K20" i="13"/>
  <c r="J20" i="13"/>
  <c r="K18" i="13"/>
  <c r="J18" i="13"/>
  <c r="K16" i="13"/>
  <c r="J16" i="13"/>
  <c r="K13" i="13"/>
  <c r="J13" i="13"/>
  <c r="K10" i="13"/>
  <c r="J10" i="13"/>
  <c r="K20" i="4"/>
  <c r="J20" i="4"/>
  <c r="K17" i="4"/>
  <c r="J17" i="4"/>
  <c r="K16" i="4"/>
  <c r="J16" i="4"/>
  <c r="K13" i="4"/>
  <c r="J13" i="4"/>
  <c r="K10" i="4"/>
  <c r="J10" i="4"/>
  <c r="C28" i="26" l="1"/>
  <c r="L17" i="26"/>
  <c r="L17" i="25"/>
  <c r="C29" i="25"/>
  <c r="L24" i="25"/>
  <c r="C29" i="26" l="1"/>
  <c r="L24" i="26"/>
  <c r="M19" i="21" l="1"/>
  <c r="I19" i="21"/>
  <c r="M17" i="21"/>
  <c r="I17" i="21"/>
  <c r="M15" i="21"/>
  <c r="I15" i="21"/>
  <c r="M12" i="21"/>
  <c r="I12" i="21"/>
  <c r="I11" i="21"/>
  <c r="M9" i="21"/>
  <c r="I9" i="21"/>
  <c r="C29" i="21" l="1"/>
  <c r="L15" i="21"/>
  <c r="L17" i="21"/>
  <c r="L9" i="21"/>
  <c r="L12" i="21"/>
  <c r="L19" i="21"/>
  <c r="L24" i="21" l="1"/>
  <c r="C28" i="21"/>
  <c r="M11" i="17"/>
  <c r="M12" i="17"/>
  <c r="M14" i="17"/>
  <c r="M15" i="17"/>
  <c r="M17" i="17"/>
  <c r="M19" i="17"/>
  <c r="M9" i="17"/>
  <c r="M11" i="15"/>
  <c r="M12" i="15"/>
  <c r="M15" i="15"/>
  <c r="M17" i="15"/>
  <c r="M19" i="15"/>
  <c r="M9" i="15"/>
  <c r="J17" i="15"/>
  <c r="M11" i="13"/>
  <c r="M12" i="13"/>
  <c r="M14" i="13"/>
  <c r="M15" i="13"/>
  <c r="M17" i="13"/>
  <c r="M19" i="13"/>
  <c r="M9" i="13"/>
  <c r="M12" i="19"/>
  <c r="M17" i="19"/>
  <c r="M19" i="19"/>
  <c r="M9" i="19"/>
  <c r="M12" i="18"/>
  <c r="M17" i="18"/>
  <c r="M19" i="18"/>
  <c r="M9" i="18"/>
  <c r="M12" i="14"/>
  <c r="M17" i="14"/>
  <c r="M19" i="14"/>
  <c r="M9" i="14"/>
  <c r="M11" i="4" l="1"/>
  <c r="M12" i="4"/>
  <c r="M15" i="4"/>
  <c r="M17" i="4"/>
  <c r="M19" i="4"/>
  <c r="M9" i="4"/>
  <c r="I19" i="19" l="1"/>
  <c r="I17" i="19"/>
  <c r="I12" i="19"/>
  <c r="I11" i="19"/>
  <c r="I9" i="19"/>
  <c r="I19" i="18"/>
  <c r="I17" i="18"/>
  <c r="I12" i="18"/>
  <c r="I11" i="18"/>
  <c r="I9" i="18"/>
  <c r="I19" i="17"/>
  <c r="I17" i="17"/>
  <c r="I15" i="17"/>
  <c r="I12" i="17"/>
  <c r="I11" i="17"/>
  <c r="I9" i="17"/>
  <c r="K17" i="15"/>
  <c r="L19" i="18" l="1"/>
  <c r="L12" i="17"/>
  <c r="K24" i="19"/>
  <c r="C29" i="19" s="1"/>
  <c r="L19" i="19"/>
  <c r="L19" i="17"/>
  <c r="C28" i="17"/>
  <c r="L9" i="17"/>
  <c r="C28" i="18"/>
  <c r="J24" i="19"/>
  <c r="C28" i="19" s="1"/>
  <c r="L17" i="19"/>
  <c r="L17" i="18"/>
  <c r="L17" i="17"/>
  <c r="L15" i="17"/>
  <c r="L12" i="19"/>
  <c r="L9" i="19"/>
  <c r="L12" i="18"/>
  <c r="L9" i="18"/>
  <c r="L24" i="17" l="1"/>
  <c r="L24" i="18"/>
  <c r="C29" i="18"/>
  <c r="L24" i="19"/>
  <c r="C29" i="17"/>
  <c r="L19" i="15" l="1"/>
  <c r="I19" i="15"/>
  <c r="I17" i="15"/>
  <c r="C29" i="15"/>
  <c r="I15" i="15"/>
  <c r="I12" i="15"/>
  <c r="I11" i="15"/>
  <c r="K9" i="15"/>
  <c r="J9" i="15"/>
  <c r="I9" i="15"/>
  <c r="L24" i="15" l="1"/>
  <c r="L15" i="15"/>
  <c r="L9" i="15"/>
  <c r="L12" i="15"/>
  <c r="C28" i="15"/>
  <c r="L17" i="15"/>
  <c r="I19" i="14" l="1"/>
  <c r="I17" i="14"/>
  <c r="I12" i="14"/>
  <c r="I11" i="14"/>
  <c r="I9" i="14"/>
  <c r="K24" i="14" l="1"/>
  <c r="C29" i="14" s="1"/>
  <c r="J24" i="14"/>
  <c r="C28" i="14" s="1"/>
  <c r="L19" i="14"/>
  <c r="L17" i="14"/>
  <c r="L12" i="14"/>
  <c r="L9" i="14"/>
  <c r="I19" i="13"/>
  <c r="I17" i="13"/>
  <c r="L15" i="13"/>
  <c r="I15" i="13"/>
  <c r="L12" i="13"/>
  <c r="I12" i="13"/>
  <c r="I11" i="13"/>
  <c r="K9" i="13"/>
  <c r="J9" i="13"/>
  <c r="I9" i="13"/>
  <c r="L19" i="13" l="1"/>
  <c r="L17" i="13"/>
  <c r="L9" i="13"/>
  <c r="L24" i="14"/>
  <c r="C29" i="13"/>
  <c r="C28" i="13"/>
  <c r="L24" i="13" l="1"/>
  <c r="I12" i="4"/>
  <c r="J24" i="4" l="1"/>
  <c r="C28" i="4" s="1"/>
  <c r="K24" i="4"/>
  <c r="C29" i="4" s="1"/>
  <c r="L12" i="4"/>
  <c r="L19" i="4"/>
  <c r="I19" i="4"/>
  <c r="I17" i="4"/>
  <c r="L15" i="4"/>
  <c r="I15" i="4"/>
  <c r="I11" i="4"/>
  <c r="K9" i="4"/>
  <c r="J9" i="4"/>
  <c r="I9" i="4"/>
  <c r="L9" i="4" l="1"/>
  <c r="L17" i="4"/>
  <c r="L24" i="4"/>
</calcChain>
</file>

<file path=xl/sharedStrings.xml><?xml version="1.0" encoding="utf-8"?>
<sst xmlns="http://schemas.openxmlformats.org/spreadsheetml/2006/main" count="801" uniqueCount="94">
  <si>
    <t>РАСЧЕТ</t>
  </si>
  <si>
    <t>№ п/п</t>
  </si>
  <si>
    <t xml:space="preserve">Виды услуг    </t>
  </si>
  <si>
    <t>Ед. изм.</t>
  </si>
  <si>
    <t>Ед.изм</t>
  </si>
  <si>
    <t>Отклонение норматива потребления (объема по приборам учета), гр5-гр4</t>
  </si>
  <si>
    <t>А</t>
  </si>
  <si>
    <t>Б</t>
  </si>
  <si>
    <t>холодное водоснабжение при оплате по нормативам потребления</t>
  </si>
  <si>
    <t>руб./м³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</si>
  <si>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>/чел/мес.</t>
    </r>
  </si>
  <si>
    <t>х</t>
  </si>
  <si>
    <t>холодное водоснабжение при оплате по приборам учета</t>
  </si>
  <si>
    <t>Тариф(гр.1)*объем(гр.4)</t>
  </si>
  <si>
    <t>Тариф(гр.2)*объем(гр.5)</t>
  </si>
  <si>
    <t>горячее водоснабжение при оплате по нормативам потребления</t>
  </si>
  <si>
    <t>горячее водоснабжение при оплате по приборам учета</t>
  </si>
  <si>
    <t>водоотведение  при оплате по нормативам потребления</t>
  </si>
  <si>
    <t>водоотведение при оплате по приборам учета</t>
  </si>
  <si>
    <t>отопление при оплате по нормативам потребления</t>
  </si>
  <si>
    <t>руб/Гкал</t>
  </si>
  <si>
    <r>
      <t>Гкал/м</t>
    </r>
    <r>
      <rPr>
        <sz val="12"/>
        <rFont val="Arial Cyr"/>
        <charset val="204"/>
      </rPr>
      <t>²</t>
    </r>
    <r>
      <rPr>
        <sz val="12"/>
        <rFont val="Times New Roman"/>
        <family val="1"/>
        <charset val="204"/>
      </rPr>
      <t>/месяц</t>
    </r>
  </si>
  <si>
    <t>отопление при оплате по приборам учета</t>
  </si>
  <si>
    <t>электроснабжение при оплате по нормативам потребления</t>
  </si>
  <si>
    <t>руб/кВт/час</t>
  </si>
  <si>
    <t>кВт/чел/мес.</t>
  </si>
  <si>
    <t>электроснабжение при оплате по приборам учета</t>
  </si>
  <si>
    <t>газоснабжение при оплате по нормативам потребления</t>
  </si>
  <si>
    <t>руб./м³ (руб./кг)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</si>
  <si>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 xml:space="preserve">/чел/мес. (кг/чел/мес.) </t>
    </r>
  </si>
  <si>
    <t>газоснабжение при оплате по приборам учета</t>
  </si>
  <si>
    <t>ИТОГО совокупная плата за коммунальные услуги</t>
  </si>
  <si>
    <t xml:space="preserve">Численность населения, проживающая в домах с указанным видом благоустройства, человек </t>
  </si>
  <si>
    <t xml:space="preserve">Общая площадь указанных жилых помещений, м² </t>
  </si>
  <si>
    <t>подпись</t>
  </si>
  <si>
    <r>
      <t>м</t>
    </r>
    <r>
      <rPr>
        <sz val="12"/>
        <rFont val="Arial Cyr"/>
        <charset val="204"/>
      </rPr>
      <t>³</t>
    </r>
    <r>
      <rPr>
        <sz val="12"/>
        <rFont val="Times New Roman"/>
        <family val="1"/>
        <charset val="204"/>
      </rPr>
      <t xml:space="preserve"> в месяц</t>
    </r>
  </si>
  <si>
    <t>Гкал  в месяц</t>
  </si>
  <si>
    <t>кВт  в месяц</t>
  </si>
  <si>
    <r>
      <t>м</t>
    </r>
    <r>
      <rPr>
        <sz val="12"/>
        <rFont val="Arial Cyr"/>
        <charset val="204"/>
      </rPr>
      <t xml:space="preserve">³ </t>
    </r>
    <r>
      <rPr>
        <sz val="12"/>
        <rFont val="Times New Roman"/>
        <family val="1"/>
        <charset val="204"/>
      </rPr>
      <t xml:space="preserve">в месяц (кг в месяц) </t>
    </r>
  </si>
  <si>
    <t>холодное водоснабжение (ОДН)</t>
  </si>
  <si>
    <t>горячее водоснабжение (ОДН)</t>
  </si>
  <si>
    <t>электроснабжение (ОДН)</t>
  </si>
  <si>
    <t>Тариф(гр.1)*норматив(гр.4)*численность</t>
  </si>
  <si>
    <t>Тариф(гр.2)*норматив(гр.5)*численность</t>
  </si>
  <si>
    <t>отсутствует</t>
  </si>
  <si>
    <r>
      <t xml:space="preserve"> вид благоустройства </t>
    </r>
    <r>
      <rPr>
        <b/>
        <u/>
        <sz val="14"/>
        <rFont val="Times New Roman"/>
        <family val="1"/>
        <charset val="204"/>
      </rPr>
      <t>ОБЩЕЖИТИЯ в деревянном исполнении постройки до 1999 года включительно (без централизованного горячего водоснабжения)</t>
    </r>
  </si>
  <si>
    <t xml:space="preserve"> </t>
  </si>
  <si>
    <t>услуга отсутствует</t>
  </si>
  <si>
    <t>Месячная совокупная плата за коммунальные услуги по муниципальному образованию с 01.07.2015,руб.</t>
  </si>
  <si>
    <t xml:space="preserve"> вид благоустройства  Многоквартирные 3-5 этажные дома в капитальном исполнении постройки до 1999 года</t>
  </si>
  <si>
    <t>Баранова А.А. тел. 8(34669) 7-42-59</t>
  </si>
  <si>
    <t xml:space="preserve"> вид благоустройства  Многоквартирные 3-5 этажные дома в капитальном исполнении постройки после 1999 года</t>
  </si>
  <si>
    <t xml:space="preserve"> вид благоустройства  Балочный жилищный фонд, подключенный к централизованной системе теплоснабжения -строения вагон-городка со стандартным набором сантехнического оборудования (оборудованые ваннами 1550 мм) </t>
  </si>
  <si>
    <t xml:space="preserve"> вид благоустройства  Многоквартирные 1-2 этажные дома в капитальном исполнении постройки после 1999 года - КПД 1 эт.</t>
  </si>
  <si>
    <t xml:space="preserve"> вид благоустройства  Жилые деревянные дома</t>
  </si>
  <si>
    <t xml:space="preserve"> вид благоустройства  Балочный жилищный фонд, подключенный к централизованной системе теплоснабжения -строения вагон-городка с мойками</t>
  </si>
  <si>
    <t xml:space="preserve"> вид благоустройства  Балочный жилищный фонд, подключенный к централизованной системе теплоснабжения -строения вагон-городка со стандартным набором сантехнического оборудования (оборудованые сидячими ваннами, душевыми)</t>
  </si>
  <si>
    <t>Изменение норматива потребления (объема по приборам учета), % (гр5/гр4)</t>
  </si>
  <si>
    <t>исполнитель: ФИО, номер телефона</t>
  </si>
  <si>
    <t>Глава города Покачи</t>
  </si>
  <si>
    <t>__________________</t>
  </si>
  <si>
    <t>Р.З. Халиуллин</t>
  </si>
  <si>
    <t>расшифровка подписи</t>
  </si>
  <si>
    <t xml:space="preserve"> вид благоустройства - частный сектор</t>
  </si>
  <si>
    <t>Месячная совокупная плата за коммунальные услуги по муниципальному образованию на 31.12.2014,руб.</t>
  </si>
  <si>
    <r>
      <t xml:space="preserve">прогнозируемой платы граждан с 01.07.2016 года по муниципальному образованию </t>
    </r>
    <r>
      <rPr>
        <b/>
        <u/>
        <sz val="16"/>
        <rFont val="Times New Roman"/>
        <family val="1"/>
        <charset val="204"/>
      </rPr>
      <t>город ПОКАЧИ</t>
    </r>
  </si>
  <si>
    <t>Тарифы на 31.12.2015</t>
  </si>
  <si>
    <t>Тарифы на 01.07.2016</t>
  </si>
  <si>
    <t>Нормативы потребления коммунальных услуг (годовые объемы потребления коммунальных услуг по прибрам учета) на 31.12.2015</t>
  </si>
  <si>
    <t>Нормативы потребления коммунальных услуг (годовые объемы потребления коммунальных услуг по прибрам учета) на 01.07.2016</t>
  </si>
  <si>
    <t>Плата на 31.12.2015, рублей в месяц</t>
  </si>
  <si>
    <t>Плата на  01.07.2016, рублей в месяц</t>
  </si>
  <si>
    <t>Индекс изменения платы за коммунальные услуги с 01.07.2016, % (гр 9/гр10*100)</t>
  </si>
  <si>
    <r>
      <t xml:space="preserve"> вид благоустройства </t>
    </r>
    <r>
      <rPr>
        <b/>
        <u/>
        <sz val="14"/>
        <rFont val="Times New Roman"/>
        <family val="1"/>
        <charset val="204"/>
      </rPr>
      <t>ОБЩЕЖИТИЯ в деревянном исполнении постройки до 1999 года включительно (с централизованным горячим водоснабжением)</t>
    </r>
  </si>
  <si>
    <r>
      <t xml:space="preserve">прогнозируемой платы граждан с 01.07.2016 год по муниципальному образованию </t>
    </r>
    <r>
      <rPr>
        <b/>
        <u/>
        <sz val="16"/>
        <rFont val="Times New Roman"/>
        <family val="1"/>
        <charset val="204"/>
      </rPr>
      <t>город ПОКАЧИ</t>
    </r>
  </si>
  <si>
    <t>Индекс изменения платы за коммунальные услуги с 01.07.2016, % (гр9/гр8*100)</t>
  </si>
  <si>
    <t>Индекс изменения платы за коммунальные услуги с 01.07.2016, % (гр 9/гр8*100)</t>
  </si>
  <si>
    <t>Индекс изменения платы за коммунальные услуги с 01.07.2016, % (гр10/гр9*100)</t>
  </si>
  <si>
    <t>Месячная совокупная плата за коммунальные услуги по муниципальному образованию на 31.12.2015,руб.</t>
  </si>
  <si>
    <t>Месячная совокупная плата за коммунальные услуги по муниципальному образованию с 01.07.2016,руб.</t>
  </si>
  <si>
    <t>Месячная совокупная плата за коммунальные услуги по муниципальному образованию с 31.12.2015,руб.</t>
  </si>
  <si>
    <t>к решению Думы города Покачи</t>
  </si>
  <si>
    <t>от _______________   № _______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</si>
  <si>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</si>
  <si>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</si>
  <si>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</si>
  <si>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</si>
  <si>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</si>
  <si>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</si>
  <si>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от ______________   № _______</t>
  </si>
  <si>
    <t>Приложение №7</t>
  </si>
  <si>
    <t>Приложение №9</t>
  </si>
  <si>
    <t>Приложение №10</t>
  </si>
  <si>
    <t>Приложение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</si>
</sst>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Arial Cyr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1" applyFont="1" applyBorder="1"/>
    <xf numFmtId="0" fontId="4" fillId="0" borderId="0" xfId="1" applyFont="1" applyBorder="1" applyAlignment="1">
      <alignment horizontal="left" vertical="center" wrapText="1"/>
    </xf>
    <xf numFmtId="0" fontId="5" fillId="0" borderId="0" xfId="1" applyFont="1" applyBorder="1"/>
    <xf numFmtId="0" fontId="8" fillId="0" borderId="0" xfId="1" applyFont="1" applyBorder="1"/>
    <xf numFmtId="0" fontId="8" fillId="0" borderId="0" xfId="1" applyFont="1"/>
    <xf numFmtId="0" fontId="8" fillId="0" borderId="6" xfId="1" applyFont="1" applyBorder="1"/>
    <xf numFmtId="0" fontId="8" fillId="0" borderId="0" xfId="1" applyFont="1" applyAlignment="1">
      <alignment horizontal="center"/>
    </xf>
    <xf numFmtId="0" fontId="3" fillId="0" borderId="0" xfId="1" applyFont="1"/>
    <xf numFmtId="0" fontId="10" fillId="0" borderId="0" xfId="1" applyFont="1"/>
    <xf numFmtId="0" fontId="8" fillId="0" borderId="1" xfId="1" applyFont="1" applyBorder="1" applyAlignment="1">
      <alignment vertical="center" wrapText="1"/>
    </xf>
    <xf numFmtId="0" fontId="4" fillId="0" borderId="0" xfId="1" applyFont="1"/>
    <xf numFmtId="0" fontId="9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/>
    <xf numFmtId="0" fontId="4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distributed" wrapText="1"/>
    </xf>
    <xf numFmtId="0" fontId="4" fillId="0" borderId="7" xfId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2" fontId="5" fillId="0" borderId="0" xfId="1" applyNumberFormat="1" applyFont="1" applyBorder="1"/>
    <xf numFmtId="0" fontId="4" fillId="0" borderId="7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1" fillId="0" borderId="1" xfId="1" applyBorder="1"/>
    <xf numFmtId="0" fontId="9" fillId="0" borderId="1" xfId="1" applyFont="1" applyBorder="1" applyAlignment="1">
      <alignment horizontal="center" vertical="center" wrapText="1"/>
    </xf>
    <xf numFmtId="2" fontId="1" fillId="0" borderId="1" xfId="1" applyNumberFormat="1" applyBorder="1"/>
    <xf numFmtId="0" fontId="4" fillId="0" borderId="7" xfId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165" fontId="1" fillId="0" borderId="1" xfId="1" applyNumberFormat="1" applyBorder="1"/>
    <xf numFmtId="164" fontId="5" fillId="0" borderId="1" xfId="1" applyNumberFormat="1" applyFont="1" applyBorder="1"/>
    <xf numFmtId="2" fontId="2" fillId="0" borderId="1" xfId="1" applyNumberFormat="1" applyFont="1" applyBorder="1" applyAlignment="1">
      <alignment horizontal="center" vertical="center" wrapText="1"/>
    </xf>
    <xf numFmtId="0" fontId="15" fillId="0" borderId="0" xfId="1" applyFont="1"/>
    <xf numFmtId="0" fontId="11" fillId="0" borderId="0" xfId="1" applyFont="1" applyBorder="1"/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0" fontId="1" fillId="0" borderId="0" xfId="1" applyBorder="1"/>
    <xf numFmtId="0" fontId="1" fillId="0" borderId="0" xfId="1" applyAlignment="1">
      <alignment vertical="center"/>
    </xf>
    <xf numFmtId="0" fontId="17" fillId="0" borderId="0" xfId="1" applyFont="1"/>
    <xf numFmtId="0" fontId="8" fillId="0" borderId="0" xfId="1" applyFont="1" applyBorder="1" applyAlignment="1">
      <alignment horizontal="center"/>
    </xf>
    <xf numFmtId="0" fontId="16" fillId="0" borderId="0" xfId="1" applyFont="1" applyBorder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7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center"/>
    </xf>
    <xf numFmtId="0" fontId="10" fillId="0" borderId="0" xfId="1" applyFont="1" applyBorder="1"/>
    <xf numFmtId="1" fontId="4" fillId="0" borderId="3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0" xfId="1" applyFont="1" applyAlignment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wrapText="1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6" xfId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A19" zoomScale="60" zoomScaleNormal="100" workbookViewId="0">
      <selection activeCell="L7" sqref="L7"/>
    </sheetView>
  </sheetViews>
  <sheetFormatPr defaultRowHeight="13.2" x14ac:dyDescent="0.25"/>
  <cols>
    <col min="1" max="1" width="9.109375" style="1"/>
    <col min="2" max="2" width="62" style="1" customWidth="1"/>
    <col min="3" max="3" width="17.88671875" style="1" customWidth="1"/>
    <col min="4" max="6" width="16.44140625" style="1" customWidth="1"/>
    <col min="7" max="7" width="18.5546875" style="1" customWidth="1"/>
    <col min="8" max="9" width="15.44140625" style="1" customWidth="1"/>
    <col min="10" max="10" width="23.109375" style="1" customWidth="1"/>
    <col min="11" max="11" width="23.44140625" style="1" customWidth="1"/>
    <col min="12" max="12" width="17" style="1" customWidth="1"/>
    <col min="13" max="13" width="15.10937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15" customHeight="1" x14ac:dyDescent="0.3">
      <c r="L1" s="90" t="s">
        <v>83</v>
      </c>
      <c r="M1" s="90"/>
    </row>
    <row r="2" spans="1:13" ht="15.6" x14ac:dyDescent="0.3">
      <c r="L2" s="90" t="s">
        <v>81</v>
      </c>
      <c r="M2" s="90"/>
    </row>
    <row r="3" spans="1:13" ht="15.6" x14ac:dyDescent="0.3">
      <c r="L3" s="90" t="s">
        <v>82</v>
      </c>
      <c r="M3" s="90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399999999999999" x14ac:dyDescent="0.25">
      <c r="B5" s="85" t="s">
        <v>65</v>
      </c>
      <c r="C5" s="85"/>
      <c r="D5" s="85"/>
      <c r="E5" s="85"/>
      <c r="F5" s="85"/>
      <c r="G5" s="85"/>
      <c r="H5" s="85"/>
      <c r="I5" s="85"/>
      <c r="J5" s="85"/>
      <c r="K5" s="85"/>
      <c r="L5" s="88"/>
      <c r="M5" s="88"/>
    </row>
    <row r="6" spans="1:13" ht="39" customHeight="1" x14ac:dyDescent="0.25">
      <c r="B6" s="86" t="s">
        <v>73</v>
      </c>
      <c r="C6" s="86"/>
      <c r="D6" s="86"/>
      <c r="E6" s="86"/>
      <c r="F6" s="86"/>
      <c r="G6" s="86"/>
      <c r="H6" s="86"/>
      <c r="I6" s="86"/>
      <c r="J6" s="86"/>
      <c r="K6" s="86"/>
      <c r="L6" s="89"/>
      <c r="M6" s="89"/>
    </row>
    <row r="7" spans="1:13" ht="168" customHeight="1" x14ac:dyDescent="0.25">
      <c r="A7" s="41" t="s">
        <v>1</v>
      </c>
      <c r="B7" s="41" t="s">
        <v>2</v>
      </c>
      <c r="C7" s="41" t="s">
        <v>66</v>
      </c>
      <c r="D7" s="41" t="s">
        <v>67</v>
      </c>
      <c r="E7" s="41" t="s">
        <v>3</v>
      </c>
      <c r="F7" s="41" t="s">
        <v>68</v>
      </c>
      <c r="G7" s="41" t="s">
        <v>69</v>
      </c>
      <c r="H7" s="41" t="s">
        <v>4</v>
      </c>
      <c r="I7" s="41" t="s">
        <v>5</v>
      </c>
      <c r="J7" s="41" t="s">
        <v>70</v>
      </c>
      <c r="K7" s="41" t="s">
        <v>71</v>
      </c>
      <c r="L7" s="41" t="s">
        <v>72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>
        <v>11</v>
      </c>
    </row>
    <row r="9" spans="1:13" ht="48" customHeight="1" x14ac:dyDescent="0.25">
      <c r="A9" s="69">
        <v>1</v>
      </c>
      <c r="B9" s="17" t="s">
        <v>8</v>
      </c>
      <c r="C9" s="3">
        <v>34.04</v>
      </c>
      <c r="D9" s="3">
        <v>46.81</v>
      </c>
      <c r="E9" s="72" t="s">
        <v>9</v>
      </c>
      <c r="F9" s="80">
        <v>4.4459999999999997</v>
      </c>
      <c r="G9" s="80">
        <v>4.4459999999999997</v>
      </c>
      <c r="H9" s="3" t="s">
        <v>10</v>
      </c>
      <c r="I9" s="3">
        <f>G9-F9</f>
        <v>0</v>
      </c>
      <c r="J9" s="4">
        <f>C9*F9*C26</f>
        <v>2270.1275999999998</v>
      </c>
      <c r="K9" s="4">
        <f>D9*G9*C26</f>
        <v>3121.7588999999998</v>
      </c>
      <c r="L9" s="76">
        <f>(K9+K10+K11)/(J9+J10+J11)*100</f>
        <v>137.51468860164513</v>
      </c>
      <c r="M9" s="40">
        <f>G9/F9*100</f>
        <v>100</v>
      </c>
    </row>
    <row r="10" spans="1:13" ht="34.5" customHeight="1" x14ac:dyDescent="0.25">
      <c r="A10" s="70"/>
      <c r="B10" s="17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v>0</v>
      </c>
      <c r="K10" s="39">
        <v>0</v>
      </c>
      <c r="L10" s="82"/>
      <c r="M10" s="40"/>
    </row>
    <row r="11" spans="1:13" ht="34.5" customHeight="1" x14ac:dyDescent="0.25">
      <c r="A11" s="71"/>
      <c r="B11" s="17" t="s">
        <v>39</v>
      </c>
      <c r="C11" s="3">
        <v>34.04</v>
      </c>
      <c r="D11" s="3">
        <v>46.81</v>
      </c>
      <c r="E11" s="73"/>
      <c r="F11" s="20">
        <v>2.7E-2</v>
      </c>
      <c r="G11" s="20">
        <v>2.7E-2</v>
      </c>
      <c r="H11" s="3"/>
      <c r="I11" s="3">
        <f>G11-F11</f>
        <v>0</v>
      </c>
      <c r="J11" s="39">
        <f>C11*F11*0</f>
        <v>0</v>
      </c>
      <c r="K11" s="39">
        <f>D11*G11*0</f>
        <v>0</v>
      </c>
      <c r="L11" s="77"/>
      <c r="M11" s="40">
        <f t="shared" ref="M11:M19" si="0">G11/F11*100</f>
        <v>100</v>
      </c>
    </row>
    <row r="12" spans="1:13" ht="51" customHeight="1" x14ac:dyDescent="0.25">
      <c r="A12" s="69">
        <v>2</v>
      </c>
      <c r="B12" s="17" t="s">
        <v>15</v>
      </c>
      <c r="C12" s="3">
        <v>129.56</v>
      </c>
      <c r="D12" s="3">
        <v>155.9</v>
      </c>
      <c r="E12" s="72" t="s">
        <v>9</v>
      </c>
      <c r="F12" s="83">
        <v>2.8730000000000002</v>
      </c>
      <c r="G12" s="83">
        <v>2.8730000000000002</v>
      </c>
      <c r="H12" s="3" t="s">
        <v>10</v>
      </c>
      <c r="I12" s="3">
        <f>G12-F12</f>
        <v>0</v>
      </c>
      <c r="J12" s="39">
        <f>C12*F12*C26</f>
        <v>5583.3882000000003</v>
      </c>
      <c r="K12" s="39">
        <f>D12*G12*C26</f>
        <v>6718.5105000000003</v>
      </c>
      <c r="L12" s="76">
        <f>(K12+K13+K14)/(J12+J13+J14)*100</f>
        <v>120.33034887310899</v>
      </c>
      <c r="M12" s="40"/>
    </row>
    <row r="13" spans="1:13" ht="42.75" customHeight="1" x14ac:dyDescent="0.25">
      <c r="A13" s="70"/>
      <c r="B13" s="17" t="s">
        <v>16</v>
      </c>
      <c r="C13" s="3">
        <v>129.56</v>
      </c>
      <c r="D13" s="3">
        <v>155.9</v>
      </c>
      <c r="E13" s="73"/>
      <c r="F13" s="84"/>
      <c r="G13" s="84"/>
      <c r="H13" s="3" t="s">
        <v>35</v>
      </c>
      <c r="I13" s="3">
        <v>0</v>
      </c>
      <c r="J13" s="39">
        <v>0</v>
      </c>
      <c r="K13" s="39">
        <v>0</v>
      </c>
      <c r="L13" s="82"/>
      <c r="M13" s="40"/>
    </row>
    <row r="14" spans="1:13" ht="42.75" customHeight="1" x14ac:dyDescent="0.25">
      <c r="A14" s="71"/>
      <c r="B14" s="17" t="s">
        <v>40</v>
      </c>
      <c r="C14" s="3">
        <v>129.56</v>
      </c>
      <c r="D14" s="3">
        <v>155.9</v>
      </c>
      <c r="E14" s="63"/>
      <c r="F14" s="38">
        <v>2.7E-2</v>
      </c>
      <c r="G14" s="38">
        <v>2.7E-2</v>
      </c>
      <c r="H14" s="3"/>
      <c r="I14" s="3">
        <v>0</v>
      </c>
      <c r="J14" s="39">
        <f>C14*F14*0</f>
        <v>0</v>
      </c>
      <c r="K14" s="39">
        <f>D14*G14*0</f>
        <v>0</v>
      </c>
      <c r="L14" s="77"/>
      <c r="M14" s="40"/>
    </row>
    <row r="15" spans="1:13" ht="48.75" customHeight="1" x14ac:dyDescent="0.25">
      <c r="A15" s="69">
        <v>3</v>
      </c>
      <c r="B15" s="17" t="s">
        <v>17</v>
      </c>
      <c r="C15" s="3">
        <v>34.159999999999997</v>
      </c>
      <c r="D15" s="3">
        <v>46.54</v>
      </c>
      <c r="E15" s="72" t="s">
        <v>9</v>
      </c>
      <c r="F15" s="80">
        <v>7.319</v>
      </c>
      <c r="G15" s="80">
        <v>7.319</v>
      </c>
      <c r="H15" s="3" t="s">
        <v>10</v>
      </c>
      <c r="I15" s="3">
        <f>G15-F15</f>
        <v>0</v>
      </c>
      <c r="J15" s="39">
        <f>C15*F15*C26</f>
        <v>3750.2555999999995</v>
      </c>
      <c r="K15" s="39">
        <f>D15*G15*C26</f>
        <v>5109.3939</v>
      </c>
      <c r="L15" s="76">
        <f>(K15+K16)/(J15+J16)*100</f>
        <v>136.24121779859485</v>
      </c>
      <c r="M15" s="40">
        <f t="shared" si="0"/>
        <v>100</v>
      </c>
    </row>
    <row r="16" spans="1:13" ht="40.5" customHeight="1" x14ac:dyDescent="0.25">
      <c r="A16" s="71"/>
      <c r="B16" s="17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>
        <v>0</v>
      </c>
      <c r="K16" s="39">
        <v>0</v>
      </c>
      <c r="L16" s="77"/>
      <c r="M16" s="40"/>
    </row>
    <row r="17" spans="1:13" ht="48.75" customHeight="1" x14ac:dyDescent="0.25">
      <c r="A17" s="69">
        <v>4</v>
      </c>
      <c r="B17" s="17" t="s">
        <v>19</v>
      </c>
      <c r="C17" s="3">
        <v>1347.49</v>
      </c>
      <c r="D17" s="3">
        <v>1517.3</v>
      </c>
      <c r="E17" s="72" t="s">
        <v>20</v>
      </c>
      <c r="F17" s="80">
        <v>3.9300000000000002E-2</v>
      </c>
      <c r="G17" s="80">
        <v>3.9300000000000002E-2</v>
      </c>
      <c r="H17" s="3" t="s">
        <v>21</v>
      </c>
      <c r="I17" s="3">
        <f>G17-F17</f>
        <v>0</v>
      </c>
      <c r="J17" s="39">
        <f>C17*294.1*F17</f>
        <v>15574.4645937</v>
      </c>
      <c r="K17" s="39">
        <f>D17*294.1*G17</f>
        <v>17537.150648999999</v>
      </c>
      <c r="L17" s="76">
        <f>(K17+K18)/(J17+J18)*100</f>
        <v>112.60194880852548</v>
      </c>
      <c r="M17" s="42">
        <f t="shared" si="0"/>
        <v>100</v>
      </c>
    </row>
    <row r="18" spans="1:13" ht="33.75" customHeight="1" x14ac:dyDescent="0.25">
      <c r="A18" s="71"/>
      <c r="B18" s="17" t="s">
        <v>22</v>
      </c>
      <c r="C18" s="3">
        <v>1347.49</v>
      </c>
      <c r="D18" s="3">
        <v>1517.3</v>
      </c>
      <c r="E18" s="73"/>
      <c r="F18" s="81"/>
      <c r="G18" s="81"/>
      <c r="H18" s="3" t="s">
        <v>36</v>
      </c>
      <c r="I18" s="3">
        <v>0</v>
      </c>
      <c r="J18" s="39">
        <v>0</v>
      </c>
      <c r="K18" s="39">
        <v>0</v>
      </c>
      <c r="L18" s="77"/>
      <c r="M18" s="40"/>
    </row>
    <row r="19" spans="1:13" ht="44.25" customHeight="1" x14ac:dyDescent="0.25">
      <c r="A19" s="69">
        <v>5</v>
      </c>
      <c r="B19" s="17" t="s">
        <v>23</v>
      </c>
      <c r="C19" s="64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108.47953216374269</v>
      </c>
      <c r="M19" s="40">
        <f t="shared" si="0"/>
        <v>100</v>
      </c>
    </row>
    <row r="20" spans="1:13" ht="34.5" customHeight="1" x14ac:dyDescent="0.25">
      <c r="A20" s="70"/>
      <c r="B20" s="17" t="s">
        <v>26</v>
      </c>
      <c r="C20" s="64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2770.2000000000003</v>
      </c>
      <c r="K20" s="39">
        <f>D20*F19*C26</f>
        <v>3005.1</v>
      </c>
      <c r="L20" s="77"/>
      <c r="M20" s="40"/>
    </row>
    <row r="21" spans="1:13" ht="34.5" customHeight="1" x14ac:dyDescent="0.25">
      <c r="A21" s="71"/>
      <c r="B21" s="17" t="s">
        <v>41</v>
      </c>
      <c r="C21" s="64">
        <v>1.71</v>
      </c>
      <c r="D21" s="64">
        <v>1.855</v>
      </c>
      <c r="E21" s="63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0"/>
    </row>
    <row r="22" spans="1:13" ht="51" customHeight="1" x14ac:dyDescent="0.25">
      <c r="A22" s="69">
        <v>6</v>
      </c>
      <c r="B22" s="17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0"/>
    </row>
    <row r="23" spans="1:13" ht="45" customHeight="1" x14ac:dyDescent="0.25">
      <c r="A23" s="71"/>
      <c r="B23" s="17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0"/>
    </row>
    <row r="24" spans="1:13" ht="33.75" customHeight="1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J9+J11+J12+J14+J15+J17+J20</f>
        <v>29948.435993700001</v>
      </c>
      <c r="K24" s="47">
        <f>K9+K11+K12+K14+K15+K17+K20</f>
        <v>35491.913949000002</v>
      </c>
      <c r="L24" s="47">
        <f>K24/J24*100</f>
        <v>118.51007497174857</v>
      </c>
      <c r="M24" s="40"/>
    </row>
    <row r="26" spans="1:13" ht="31.2" x14ac:dyDescent="0.25">
      <c r="B26" s="7" t="s">
        <v>32</v>
      </c>
      <c r="C26" s="8">
        <v>15</v>
      </c>
    </row>
    <row r="27" spans="1:13" ht="15.6" x14ac:dyDescent="0.25">
      <c r="B27" s="7" t="s">
        <v>33</v>
      </c>
      <c r="C27" s="8">
        <v>294.10000000000002</v>
      </c>
    </row>
    <row r="28" spans="1:13" ht="66.75" customHeight="1" x14ac:dyDescent="0.25">
      <c r="B28" s="7" t="s">
        <v>64</v>
      </c>
      <c r="C28" s="26">
        <f>J24</f>
        <v>29948.435993700001</v>
      </c>
    </row>
    <row r="29" spans="1:13" ht="66.75" customHeight="1" x14ac:dyDescent="0.25">
      <c r="B29" s="7" t="s">
        <v>48</v>
      </c>
      <c r="C29" s="26">
        <f>K24</f>
        <v>35491.913949000002</v>
      </c>
    </row>
    <row r="30" spans="1:13" ht="66.75" hidden="1" customHeight="1" x14ac:dyDescent="0.25">
      <c r="B30" s="9"/>
      <c r="C30" s="10"/>
    </row>
    <row r="31" spans="1:13" ht="51.75" hidden="1" customHeight="1" x14ac:dyDescent="0.35">
      <c r="B31" s="68" t="s">
        <v>59</v>
      </c>
      <c r="C31" s="11"/>
      <c r="D31" s="12"/>
      <c r="E31" s="11"/>
      <c r="F31" s="12"/>
      <c r="G31" s="11"/>
      <c r="H31" s="12"/>
    </row>
    <row r="32" spans="1:13" ht="22.8" hidden="1" x14ac:dyDescent="0.4">
      <c r="B32" s="68"/>
      <c r="C32" s="12"/>
      <c r="D32" s="54" t="s">
        <v>60</v>
      </c>
      <c r="E32" s="55"/>
      <c r="F32" s="11"/>
      <c r="G32" s="56" t="s">
        <v>61</v>
      </c>
      <c r="H32" s="11"/>
    </row>
    <row r="33" spans="1:12" ht="18" hidden="1" x14ac:dyDescent="0.35">
      <c r="B33" s="12"/>
      <c r="C33" s="12"/>
      <c r="D33" s="57" t="s">
        <v>34</v>
      </c>
      <c r="E33" s="58"/>
      <c r="F33" s="15"/>
      <c r="G33" s="15" t="s">
        <v>62</v>
      </c>
      <c r="H33" s="15"/>
    </row>
    <row r="34" spans="1:12" ht="18" hidden="1" x14ac:dyDescent="0.35">
      <c r="B34" s="18"/>
      <c r="C34" s="12"/>
      <c r="D34" s="12"/>
      <c r="E34" s="14"/>
      <c r="F34" s="12"/>
      <c r="G34" s="12"/>
      <c r="H34" s="12"/>
    </row>
    <row r="35" spans="1:12" ht="18" hidden="1" x14ac:dyDescent="0.35">
      <c r="B35" s="15"/>
      <c r="C35" s="12"/>
      <c r="D35" s="12"/>
      <c r="E35" s="14"/>
      <c r="F35" s="12"/>
      <c r="G35" s="12"/>
      <c r="H35" s="12"/>
    </row>
    <row r="36" spans="1:12" ht="22.8" hidden="1" x14ac:dyDescent="0.4">
      <c r="A36" s="16"/>
      <c r="B36" s="18" t="s">
        <v>58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idden="1" x14ac:dyDescent="0.25">
      <c r="B37" s="15" t="s">
        <v>50</v>
      </c>
    </row>
    <row r="38" spans="1:12" hidden="1" x14ac:dyDescent="0.25"/>
  </sheetData>
  <mergeCells count="40">
    <mergeCell ref="L5:M5"/>
    <mergeCell ref="L6:M6"/>
    <mergeCell ref="L2:M2"/>
    <mergeCell ref="L3:M3"/>
    <mergeCell ref="L1:M1"/>
    <mergeCell ref="B4:K4"/>
    <mergeCell ref="B5:K5"/>
    <mergeCell ref="B6:K6"/>
    <mergeCell ref="A9:A11"/>
    <mergeCell ref="E9:E11"/>
    <mergeCell ref="F9:F10"/>
    <mergeCell ref="G9:G10"/>
    <mergeCell ref="L9:L11"/>
    <mergeCell ref="A12:A14"/>
    <mergeCell ref="E12:E13"/>
    <mergeCell ref="F12:F13"/>
    <mergeCell ref="G12:G13"/>
    <mergeCell ref="L12:L14"/>
    <mergeCell ref="A17:A18"/>
    <mergeCell ref="E17:E18"/>
    <mergeCell ref="F17:F18"/>
    <mergeCell ref="G17:G18"/>
    <mergeCell ref="L17:L18"/>
    <mergeCell ref="A15:A16"/>
    <mergeCell ref="E15:E16"/>
    <mergeCell ref="F15:F16"/>
    <mergeCell ref="G15:G16"/>
    <mergeCell ref="L15:L16"/>
    <mergeCell ref="G19:G20"/>
    <mergeCell ref="L19:L20"/>
    <mergeCell ref="A22:A23"/>
    <mergeCell ref="E22:E23"/>
    <mergeCell ref="F22:F23"/>
    <mergeCell ref="G22:G23"/>
    <mergeCell ref="L22:L23"/>
    <mergeCell ref="A24:B24"/>
    <mergeCell ref="B31:B32"/>
    <mergeCell ref="A19:A21"/>
    <mergeCell ref="E19:E20"/>
    <mergeCell ref="F19:F20"/>
  </mergeCells>
  <pageMargins left="0.78740157480314965" right="0.39370078740157483" top="1.3779527559055118" bottom="0.78740157480314965" header="0.31496062992125984" footer="0.31496062992125984"/>
  <pageSetup paperSize="9" scale="46" orientation="landscape" r:id="rId1"/>
  <rowBreaks count="1" manualBreakCount="1">
    <brk id="2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="60" zoomScaleNormal="100" workbookViewId="0">
      <selection activeCell="L2" sqref="L2"/>
    </sheetView>
  </sheetViews>
  <sheetFormatPr defaultRowHeight="13.2" x14ac:dyDescent="0.25"/>
  <cols>
    <col min="1" max="1" width="9.109375" style="1"/>
    <col min="2" max="2" width="52.33203125" style="1" customWidth="1"/>
    <col min="3" max="3" width="17.88671875" style="1" customWidth="1"/>
    <col min="4" max="6" width="16.44140625" style="1" customWidth="1"/>
    <col min="7" max="7" width="18.5546875" style="1" customWidth="1"/>
    <col min="8" max="9" width="15.44140625" style="1" customWidth="1"/>
    <col min="10" max="10" width="23.33203125" style="1" customWidth="1"/>
    <col min="11" max="11" width="42.109375" style="1" customWidth="1"/>
    <col min="12" max="12" width="17.44140625" style="1" customWidth="1"/>
    <col min="13" max="13" width="14.6640625" style="1" customWidth="1"/>
    <col min="14" max="257" width="9.109375" style="1"/>
    <col min="258" max="258" width="33.5546875" style="1" customWidth="1"/>
    <col min="259" max="259" width="17.88671875" style="1" customWidth="1"/>
    <col min="260" max="260" width="16.44140625" style="1" customWidth="1"/>
    <col min="261" max="261" width="13.33203125" style="1" customWidth="1"/>
    <col min="262" max="262" width="16.44140625" style="1" customWidth="1"/>
    <col min="263" max="263" width="15.44140625" style="1" customWidth="1"/>
    <col min="264" max="264" width="14.6640625" style="1" customWidth="1"/>
    <col min="265" max="265" width="19" style="1" customWidth="1"/>
    <col min="266" max="266" width="16.109375" style="1" customWidth="1"/>
    <col min="267" max="267" width="14.109375" style="1" customWidth="1"/>
    <col min="268" max="268" width="13.33203125" style="1" customWidth="1"/>
    <col min="269" max="269" width="13.44140625" style="1" customWidth="1"/>
    <col min="270" max="513" width="9.109375" style="1"/>
    <col min="514" max="514" width="33.5546875" style="1" customWidth="1"/>
    <col min="515" max="515" width="17.88671875" style="1" customWidth="1"/>
    <col min="516" max="516" width="16.44140625" style="1" customWidth="1"/>
    <col min="517" max="517" width="13.33203125" style="1" customWidth="1"/>
    <col min="518" max="518" width="16.44140625" style="1" customWidth="1"/>
    <col min="519" max="519" width="15.44140625" style="1" customWidth="1"/>
    <col min="520" max="520" width="14.6640625" style="1" customWidth="1"/>
    <col min="521" max="521" width="19" style="1" customWidth="1"/>
    <col min="522" max="522" width="16.109375" style="1" customWidth="1"/>
    <col min="523" max="523" width="14.109375" style="1" customWidth="1"/>
    <col min="524" max="524" width="13.33203125" style="1" customWidth="1"/>
    <col min="525" max="525" width="13.44140625" style="1" customWidth="1"/>
    <col min="526" max="769" width="9.109375" style="1"/>
    <col min="770" max="770" width="33.5546875" style="1" customWidth="1"/>
    <col min="771" max="771" width="17.88671875" style="1" customWidth="1"/>
    <col min="772" max="772" width="16.44140625" style="1" customWidth="1"/>
    <col min="773" max="773" width="13.33203125" style="1" customWidth="1"/>
    <col min="774" max="774" width="16.44140625" style="1" customWidth="1"/>
    <col min="775" max="775" width="15.44140625" style="1" customWidth="1"/>
    <col min="776" max="776" width="14.6640625" style="1" customWidth="1"/>
    <col min="777" max="777" width="19" style="1" customWidth="1"/>
    <col min="778" max="778" width="16.109375" style="1" customWidth="1"/>
    <col min="779" max="779" width="14.109375" style="1" customWidth="1"/>
    <col min="780" max="780" width="13.33203125" style="1" customWidth="1"/>
    <col min="781" max="781" width="13.44140625" style="1" customWidth="1"/>
    <col min="782" max="1025" width="9.109375" style="1"/>
    <col min="1026" max="1026" width="33.5546875" style="1" customWidth="1"/>
    <col min="1027" max="1027" width="17.88671875" style="1" customWidth="1"/>
    <col min="1028" max="1028" width="16.44140625" style="1" customWidth="1"/>
    <col min="1029" max="1029" width="13.33203125" style="1" customWidth="1"/>
    <col min="1030" max="1030" width="16.44140625" style="1" customWidth="1"/>
    <col min="1031" max="1031" width="15.44140625" style="1" customWidth="1"/>
    <col min="1032" max="1032" width="14.6640625" style="1" customWidth="1"/>
    <col min="1033" max="1033" width="19" style="1" customWidth="1"/>
    <col min="1034" max="1034" width="16.109375" style="1" customWidth="1"/>
    <col min="1035" max="1035" width="14.109375" style="1" customWidth="1"/>
    <col min="1036" max="1036" width="13.33203125" style="1" customWidth="1"/>
    <col min="1037" max="1037" width="13.44140625" style="1" customWidth="1"/>
    <col min="1038" max="1281" width="9.109375" style="1"/>
    <col min="1282" max="1282" width="33.5546875" style="1" customWidth="1"/>
    <col min="1283" max="1283" width="17.88671875" style="1" customWidth="1"/>
    <col min="1284" max="1284" width="16.44140625" style="1" customWidth="1"/>
    <col min="1285" max="1285" width="13.33203125" style="1" customWidth="1"/>
    <col min="1286" max="1286" width="16.44140625" style="1" customWidth="1"/>
    <col min="1287" max="1287" width="15.44140625" style="1" customWidth="1"/>
    <col min="1288" max="1288" width="14.6640625" style="1" customWidth="1"/>
    <col min="1289" max="1289" width="19" style="1" customWidth="1"/>
    <col min="1290" max="1290" width="16.109375" style="1" customWidth="1"/>
    <col min="1291" max="1291" width="14.109375" style="1" customWidth="1"/>
    <col min="1292" max="1292" width="13.33203125" style="1" customWidth="1"/>
    <col min="1293" max="1293" width="13.44140625" style="1" customWidth="1"/>
    <col min="1294" max="1537" width="9.109375" style="1"/>
    <col min="1538" max="1538" width="33.5546875" style="1" customWidth="1"/>
    <col min="1539" max="1539" width="17.88671875" style="1" customWidth="1"/>
    <col min="1540" max="1540" width="16.44140625" style="1" customWidth="1"/>
    <col min="1541" max="1541" width="13.33203125" style="1" customWidth="1"/>
    <col min="1542" max="1542" width="16.44140625" style="1" customWidth="1"/>
    <col min="1543" max="1543" width="15.44140625" style="1" customWidth="1"/>
    <col min="1544" max="1544" width="14.6640625" style="1" customWidth="1"/>
    <col min="1545" max="1545" width="19" style="1" customWidth="1"/>
    <col min="1546" max="1546" width="16.109375" style="1" customWidth="1"/>
    <col min="1547" max="1547" width="14.109375" style="1" customWidth="1"/>
    <col min="1548" max="1548" width="13.33203125" style="1" customWidth="1"/>
    <col min="1549" max="1549" width="13.44140625" style="1" customWidth="1"/>
    <col min="1550" max="1793" width="9.109375" style="1"/>
    <col min="1794" max="1794" width="33.5546875" style="1" customWidth="1"/>
    <col min="1795" max="1795" width="17.88671875" style="1" customWidth="1"/>
    <col min="1796" max="1796" width="16.44140625" style="1" customWidth="1"/>
    <col min="1797" max="1797" width="13.33203125" style="1" customWidth="1"/>
    <col min="1798" max="1798" width="16.44140625" style="1" customWidth="1"/>
    <col min="1799" max="1799" width="15.44140625" style="1" customWidth="1"/>
    <col min="1800" max="1800" width="14.6640625" style="1" customWidth="1"/>
    <col min="1801" max="1801" width="19" style="1" customWidth="1"/>
    <col min="1802" max="1802" width="16.109375" style="1" customWidth="1"/>
    <col min="1803" max="1803" width="14.109375" style="1" customWidth="1"/>
    <col min="1804" max="1804" width="13.33203125" style="1" customWidth="1"/>
    <col min="1805" max="1805" width="13.44140625" style="1" customWidth="1"/>
    <col min="1806" max="2049" width="9.109375" style="1"/>
    <col min="2050" max="2050" width="33.5546875" style="1" customWidth="1"/>
    <col min="2051" max="2051" width="17.88671875" style="1" customWidth="1"/>
    <col min="2052" max="2052" width="16.44140625" style="1" customWidth="1"/>
    <col min="2053" max="2053" width="13.33203125" style="1" customWidth="1"/>
    <col min="2054" max="2054" width="16.44140625" style="1" customWidth="1"/>
    <col min="2055" max="2055" width="15.44140625" style="1" customWidth="1"/>
    <col min="2056" max="2056" width="14.6640625" style="1" customWidth="1"/>
    <col min="2057" max="2057" width="19" style="1" customWidth="1"/>
    <col min="2058" max="2058" width="16.109375" style="1" customWidth="1"/>
    <col min="2059" max="2059" width="14.109375" style="1" customWidth="1"/>
    <col min="2060" max="2060" width="13.33203125" style="1" customWidth="1"/>
    <col min="2061" max="2061" width="13.44140625" style="1" customWidth="1"/>
    <col min="2062" max="2305" width="9.109375" style="1"/>
    <col min="2306" max="2306" width="33.5546875" style="1" customWidth="1"/>
    <col min="2307" max="2307" width="17.88671875" style="1" customWidth="1"/>
    <col min="2308" max="2308" width="16.44140625" style="1" customWidth="1"/>
    <col min="2309" max="2309" width="13.33203125" style="1" customWidth="1"/>
    <col min="2310" max="2310" width="16.44140625" style="1" customWidth="1"/>
    <col min="2311" max="2311" width="15.44140625" style="1" customWidth="1"/>
    <col min="2312" max="2312" width="14.6640625" style="1" customWidth="1"/>
    <col min="2313" max="2313" width="19" style="1" customWidth="1"/>
    <col min="2314" max="2314" width="16.109375" style="1" customWidth="1"/>
    <col min="2315" max="2315" width="14.109375" style="1" customWidth="1"/>
    <col min="2316" max="2316" width="13.33203125" style="1" customWidth="1"/>
    <col min="2317" max="2317" width="13.44140625" style="1" customWidth="1"/>
    <col min="2318" max="2561" width="9.109375" style="1"/>
    <col min="2562" max="2562" width="33.5546875" style="1" customWidth="1"/>
    <col min="2563" max="2563" width="17.88671875" style="1" customWidth="1"/>
    <col min="2564" max="2564" width="16.44140625" style="1" customWidth="1"/>
    <col min="2565" max="2565" width="13.33203125" style="1" customWidth="1"/>
    <col min="2566" max="2566" width="16.44140625" style="1" customWidth="1"/>
    <col min="2567" max="2567" width="15.44140625" style="1" customWidth="1"/>
    <col min="2568" max="2568" width="14.6640625" style="1" customWidth="1"/>
    <col min="2569" max="2569" width="19" style="1" customWidth="1"/>
    <col min="2570" max="2570" width="16.109375" style="1" customWidth="1"/>
    <col min="2571" max="2571" width="14.109375" style="1" customWidth="1"/>
    <col min="2572" max="2572" width="13.33203125" style="1" customWidth="1"/>
    <col min="2573" max="2573" width="13.44140625" style="1" customWidth="1"/>
    <col min="2574" max="2817" width="9.109375" style="1"/>
    <col min="2818" max="2818" width="33.5546875" style="1" customWidth="1"/>
    <col min="2819" max="2819" width="17.88671875" style="1" customWidth="1"/>
    <col min="2820" max="2820" width="16.44140625" style="1" customWidth="1"/>
    <col min="2821" max="2821" width="13.33203125" style="1" customWidth="1"/>
    <col min="2822" max="2822" width="16.44140625" style="1" customWidth="1"/>
    <col min="2823" max="2823" width="15.44140625" style="1" customWidth="1"/>
    <col min="2824" max="2824" width="14.6640625" style="1" customWidth="1"/>
    <col min="2825" max="2825" width="19" style="1" customWidth="1"/>
    <col min="2826" max="2826" width="16.109375" style="1" customWidth="1"/>
    <col min="2827" max="2827" width="14.109375" style="1" customWidth="1"/>
    <col min="2828" max="2828" width="13.33203125" style="1" customWidth="1"/>
    <col min="2829" max="2829" width="13.44140625" style="1" customWidth="1"/>
    <col min="2830" max="3073" width="9.109375" style="1"/>
    <col min="3074" max="3074" width="33.5546875" style="1" customWidth="1"/>
    <col min="3075" max="3075" width="17.88671875" style="1" customWidth="1"/>
    <col min="3076" max="3076" width="16.44140625" style="1" customWidth="1"/>
    <col min="3077" max="3077" width="13.33203125" style="1" customWidth="1"/>
    <col min="3078" max="3078" width="16.44140625" style="1" customWidth="1"/>
    <col min="3079" max="3079" width="15.44140625" style="1" customWidth="1"/>
    <col min="3080" max="3080" width="14.6640625" style="1" customWidth="1"/>
    <col min="3081" max="3081" width="19" style="1" customWidth="1"/>
    <col min="3082" max="3082" width="16.109375" style="1" customWidth="1"/>
    <col min="3083" max="3083" width="14.109375" style="1" customWidth="1"/>
    <col min="3084" max="3084" width="13.33203125" style="1" customWidth="1"/>
    <col min="3085" max="3085" width="13.44140625" style="1" customWidth="1"/>
    <col min="3086" max="3329" width="9.109375" style="1"/>
    <col min="3330" max="3330" width="33.5546875" style="1" customWidth="1"/>
    <col min="3331" max="3331" width="17.88671875" style="1" customWidth="1"/>
    <col min="3332" max="3332" width="16.44140625" style="1" customWidth="1"/>
    <col min="3333" max="3333" width="13.33203125" style="1" customWidth="1"/>
    <col min="3334" max="3334" width="16.44140625" style="1" customWidth="1"/>
    <col min="3335" max="3335" width="15.44140625" style="1" customWidth="1"/>
    <col min="3336" max="3336" width="14.6640625" style="1" customWidth="1"/>
    <col min="3337" max="3337" width="19" style="1" customWidth="1"/>
    <col min="3338" max="3338" width="16.109375" style="1" customWidth="1"/>
    <col min="3339" max="3339" width="14.109375" style="1" customWidth="1"/>
    <col min="3340" max="3340" width="13.33203125" style="1" customWidth="1"/>
    <col min="3341" max="3341" width="13.44140625" style="1" customWidth="1"/>
    <col min="3342" max="3585" width="9.109375" style="1"/>
    <col min="3586" max="3586" width="33.5546875" style="1" customWidth="1"/>
    <col min="3587" max="3587" width="17.88671875" style="1" customWidth="1"/>
    <col min="3588" max="3588" width="16.44140625" style="1" customWidth="1"/>
    <col min="3589" max="3589" width="13.33203125" style="1" customWidth="1"/>
    <col min="3590" max="3590" width="16.44140625" style="1" customWidth="1"/>
    <col min="3591" max="3591" width="15.44140625" style="1" customWidth="1"/>
    <col min="3592" max="3592" width="14.6640625" style="1" customWidth="1"/>
    <col min="3593" max="3593" width="19" style="1" customWidth="1"/>
    <col min="3594" max="3594" width="16.109375" style="1" customWidth="1"/>
    <col min="3595" max="3595" width="14.109375" style="1" customWidth="1"/>
    <col min="3596" max="3596" width="13.33203125" style="1" customWidth="1"/>
    <col min="3597" max="3597" width="13.44140625" style="1" customWidth="1"/>
    <col min="3598" max="3841" width="9.109375" style="1"/>
    <col min="3842" max="3842" width="33.5546875" style="1" customWidth="1"/>
    <col min="3843" max="3843" width="17.88671875" style="1" customWidth="1"/>
    <col min="3844" max="3844" width="16.44140625" style="1" customWidth="1"/>
    <col min="3845" max="3845" width="13.33203125" style="1" customWidth="1"/>
    <col min="3846" max="3846" width="16.44140625" style="1" customWidth="1"/>
    <col min="3847" max="3847" width="15.44140625" style="1" customWidth="1"/>
    <col min="3848" max="3848" width="14.6640625" style="1" customWidth="1"/>
    <col min="3849" max="3849" width="19" style="1" customWidth="1"/>
    <col min="3850" max="3850" width="16.109375" style="1" customWidth="1"/>
    <col min="3851" max="3851" width="14.109375" style="1" customWidth="1"/>
    <col min="3852" max="3852" width="13.33203125" style="1" customWidth="1"/>
    <col min="3853" max="3853" width="13.44140625" style="1" customWidth="1"/>
    <col min="3854" max="4097" width="9.109375" style="1"/>
    <col min="4098" max="4098" width="33.5546875" style="1" customWidth="1"/>
    <col min="4099" max="4099" width="17.88671875" style="1" customWidth="1"/>
    <col min="4100" max="4100" width="16.44140625" style="1" customWidth="1"/>
    <col min="4101" max="4101" width="13.33203125" style="1" customWidth="1"/>
    <col min="4102" max="4102" width="16.44140625" style="1" customWidth="1"/>
    <col min="4103" max="4103" width="15.44140625" style="1" customWidth="1"/>
    <col min="4104" max="4104" width="14.6640625" style="1" customWidth="1"/>
    <col min="4105" max="4105" width="19" style="1" customWidth="1"/>
    <col min="4106" max="4106" width="16.109375" style="1" customWidth="1"/>
    <col min="4107" max="4107" width="14.109375" style="1" customWidth="1"/>
    <col min="4108" max="4108" width="13.33203125" style="1" customWidth="1"/>
    <col min="4109" max="4109" width="13.44140625" style="1" customWidth="1"/>
    <col min="4110" max="4353" width="9.109375" style="1"/>
    <col min="4354" max="4354" width="33.5546875" style="1" customWidth="1"/>
    <col min="4355" max="4355" width="17.88671875" style="1" customWidth="1"/>
    <col min="4356" max="4356" width="16.44140625" style="1" customWidth="1"/>
    <col min="4357" max="4357" width="13.33203125" style="1" customWidth="1"/>
    <col min="4358" max="4358" width="16.44140625" style="1" customWidth="1"/>
    <col min="4359" max="4359" width="15.44140625" style="1" customWidth="1"/>
    <col min="4360" max="4360" width="14.6640625" style="1" customWidth="1"/>
    <col min="4361" max="4361" width="19" style="1" customWidth="1"/>
    <col min="4362" max="4362" width="16.109375" style="1" customWidth="1"/>
    <col min="4363" max="4363" width="14.109375" style="1" customWidth="1"/>
    <col min="4364" max="4364" width="13.33203125" style="1" customWidth="1"/>
    <col min="4365" max="4365" width="13.44140625" style="1" customWidth="1"/>
    <col min="4366" max="4609" width="9.109375" style="1"/>
    <col min="4610" max="4610" width="33.5546875" style="1" customWidth="1"/>
    <col min="4611" max="4611" width="17.88671875" style="1" customWidth="1"/>
    <col min="4612" max="4612" width="16.44140625" style="1" customWidth="1"/>
    <col min="4613" max="4613" width="13.33203125" style="1" customWidth="1"/>
    <col min="4614" max="4614" width="16.44140625" style="1" customWidth="1"/>
    <col min="4615" max="4615" width="15.44140625" style="1" customWidth="1"/>
    <col min="4616" max="4616" width="14.6640625" style="1" customWidth="1"/>
    <col min="4617" max="4617" width="19" style="1" customWidth="1"/>
    <col min="4618" max="4618" width="16.109375" style="1" customWidth="1"/>
    <col min="4619" max="4619" width="14.109375" style="1" customWidth="1"/>
    <col min="4620" max="4620" width="13.33203125" style="1" customWidth="1"/>
    <col min="4621" max="4621" width="13.44140625" style="1" customWidth="1"/>
    <col min="4622" max="4865" width="9.109375" style="1"/>
    <col min="4866" max="4866" width="33.5546875" style="1" customWidth="1"/>
    <col min="4867" max="4867" width="17.88671875" style="1" customWidth="1"/>
    <col min="4868" max="4868" width="16.44140625" style="1" customWidth="1"/>
    <col min="4869" max="4869" width="13.33203125" style="1" customWidth="1"/>
    <col min="4870" max="4870" width="16.44140625" style="1" customWidth="1"/>
    <col min="4871" max="4871" width="15.44140625" style="1" customWidth="1"/>
    <col min="4872" max="4872" width="14.6640625" style="1" customWidth="1"/>
    <col min="4873" max="4873" width="19" style="1" customWidth="1"/>
    <col min="4874" max="4874" width="16.109375" style="1" customWidth="1"/>
    <col min="4875" max="4875" width="14.109375" style="1" customWidth="1"/>
    <col min="4876" max="4876" width="13.33203125" style="1" customWidth="1"/>
    <col min="4877" max="4877" width="13.44140625" style="1" customWidth="1"/>
    <col min="4878" max="5121" width="9.109375" style="1"/>
    <col min="5122" max="5122" width="33.5546875" style="1" customWidth="1"/>
    <col min="5123" max="5123" width="17.88671875" style="1" customWidth="1"/>
    <col min="5124" max="5124" width="16.44140625" style="1" customWidth="1"/>
    <col min="5125" max="5125" width="13.33203125" style="1" customWidth="1"/>
    <col min="5126" max="5126" width="16.44140625" style="1" customWidth="1"/>
    <col min="5127" max="5127" width="15.44140625" style="1" customWidth="1"/>
    <col min="5128" max="5128" width="14.6640625" style="1" customWidth="1"/>
    <col min="5129" max="5129" width="19" style="1" customWidth="1"/>
    <col min="5130" max="5130" width="16.109375" style="1" customWidth="1"/>
    <col min="5131" max="5131" width="14.109375" style="1" customWidth="1"/>
    <col min="5132" max="5132" width="13.33203125" style="1" customWidth="1"/>
    <col min="5133" max="5133" width="13.44140625" style="1" customWidth="1"/>
    <col min="5134" max="5377" width="9.109375" style="1"/>
    <col min="5378" max="5378" width="33.5546875" style="1" customWidth="1"/>
    <col min="5379" max="5379" width="17.88671875" style="1" customWidth="1"/>
    <col min="5380" max="5380" width="16.44140625" style="1" customWidth="1"/>
    <col min="5381" max="5381" width="13.33203125" style="1" customWidth="1"/>
    <col min="5382" max="5382" width="16.44140625" style="1" customWidth="1"/>
    <col min="5383" max="5383" width="15.44140625" style="1" customWidth="1"/>
    <col min="5384" max="5384" width="14.6640625" style="1" customWidth="1"/>
    <col min="5385" max="5385" width="19" style="1" customWidth="1"/>
    <col min="5386" max="5386" width="16.109375" style="1" customWidth="1"/>
    <col min="5387" max="5387" width="14.109375" style="1" customWidth="1"/>
    <col min="5388" max="5388" width="13.33203125" style="1" customWidth="1"/>
    <col min="5389" max="5389" width="13.44140625" style="1" customWidth="1"/>
    <col min="5390" max="5633" width="9.109375" style="1"/>
    <col min="5634" max="5634" width="33.5546875" style="1" customWidth="1"/>
    <col min="5635" max="5635" width="17.88671875" style="1" customWidth="1"/>
    <col min="5636" max="5636" width="16.44140625" style="1" customWidth="1"/>
    <col min="5637" max="5637" width="13.33203125" style="1" customWidth="1"/>
    <col min="5638" max="5638" width="16.44140625" style="1" customWidth="1"/>
    <col min="5639" max="5639" width="15.44140625" style="1" customWidth="1"/>
    <col min="5640" max="5640" width="14.6640625" style="1" customWidth="1"/>
    <col min="5641" max="5641" width="19" style="1" customWidth="1"/>
    <col min="5642" max="5642" width="16.109375" style="1" customWidth="1"/>
    <col min="5643" max="5643" width="14.109375" style="1" customWidth="1"/>
    <col min="5644" max="5644" width="13.33203125" style="1" customWidth="1"/>
    <col min="5645" max="5645" width="13.44140625" style="1" customWidth="1"/>
    <col min="5646" max="5889" width="9.109375" style="1"/>
    <col min="5890" max="5890" width="33.5546875" style="1" customWidth="1"/>
    <col min="5891" max="5891" width="17.88671875" style="1" customWidth="1"/>
    <col min="5892" max="5892" width="16.44140625" style="1" customWidth="1"/>
    <col min="5893" max="5893" width="13.33203125" style="1" customWidth="1"/>
    <col min="5894" max="5894" width="16.44140625" style="1" customWidth="1"/>
    <col min="5895" max="5895" width="15.44140625" style="1" customWidth="1"/>
    <col min="5896" max="5896" width="14.6640625" style="1" customWidth="1"/>
    <col min="5897" max="5897" width="19" style="1" customWidth="1"/>
    <col min="5898" max="5898" width="16.109375" style="1" customWidth="1"/>
    <col min="5899" max="5899" width="14.109375" style="1" customWidth="1"/>
    <col min="5900" max="5900" width="13.33203125" style="1" customWidth="1"/>
    <col min="5901" max="5901" width="13.44140625" style="1" customWidth="1"/>
    <col min="5902" max="6145" width="9.109375" style="1"/>
    <col min="6146" max="6146" width="33.5546875" style="1" customWidth="1"/>
    <col min="6147" max="6147" width="17.88671875" style="1" customWidth="1"/>
    <col min="6148" max="6148" width="16.44140625" style="1" customWidth="1"/>
    <col min="6149" max="6149" width="13.33203125" style="1" customWidth="1"/>
    <col min="6150" max="6150" width="16.44140625" style="1" customWidth="1"/>
    <col min="6151" max="6151" width="15.44140625" style="1" customWidth="1"/>
    <col min="6152" max="6152" width="14.6640625" style="1" customWidth="1"/>
    <col min="6153" max="6153" width="19" style="1" customWidth="1"/>
    <col min="6154" max="6154" width="16.109375" style="1" customWidth="1"/>
    <col min="6155" max="6155" width="14.109375" style="1" customWidth="1"/>
    <col min="6156" max="6156" width="13.33203125" style="1" customWidth="1"/>
    <col min="6157" max="6157" width="13.44140625" style="1" customWidth="1"/>
    <col min="6158" max="6401" width="9.109375" style="1"/>
    <col min="6402" max="6402" width="33.5546875" style="1" customWidth="1"/>
    <col min="6403" max="6403" width="17.88671875" style="1" customWidth="1"/>
    <col min="6404" max="6404" width="16.44140625" style="1" customWidth="1"/>
    <col min="6405" max="6405" width="13.33203125" style="1" customWidth="1"/>
    <col min="6406" max="6406" width="16.44140625" style="1" customWidth="1"/>
    <col min="6407" max="6407" width="15.44140625" style="1" customWidth="1"/>
    <col min="6408" max="6408" width="14.6640625" style="1" customWidth="1"/>
    <col min="6409" max="6409" width="19" style="1" customWidth="1"/>
    <col min="6410" max="6410" width="16.109375" style="1" customWidth="1"/>
    <col min="6411" max="6411" width="14.109375" style="1" customWidth="1"/>
    <col min="6412" max="6412" width="13.33203125" style="1" customWidth="1"/>
    <col min="6413" max="6413" width="13.44140625" style="1" customWidth="1"/>
    <col min="6414" max="6657" width="9.109375" style="1"/>
    <col min="6658" max="6658" width="33.5546875" style="1" customWidth="1"/>
    <col min="6659" max="6659" width="17.88671875" style="1" customWidth="1"/>
    <col min="6660" max="6660" width="16.44140625" style="1" customWidth="1"/>
    <col min="6661" max="6661" width="13.33203125" style="1" customWidth="1"/>
    <col min="6662" max="6662" width="16.44140625" style="1" customWidth="1"/>
    <col min="6663" max="6663" width="15.44140625" style="1" customWidth="1"/>
    <col min="6664" max="6664" width="14.6640625" style="1" customWidth="1"/>
    <col min="6665" max="6665" width="19" style="1" customWidth="1"/>
    <col min="6666" max="6666" width="16.109375" style="1" customWidth="1"/>
    <col min="6667" max="6667" width="14.109375" style="1" customWidth="1"/>
    <col min="6668" max="6668" width="13.33203125" style="1" customWidth="1"/>
    <col min="6669" max="6669" width="13.44140625" style="1" customWidth="1"/>
    <col min="6670" max="6913" width="9.109375" style="1"/>
    <col min="6914" max="6914" width="33.5546875" style="1" customWidth="1"/>
    <col min="6915" max="6915" width="17.88671875" style="1" customWidth="1"/>
    <col min="6916" max="6916" width="16.44140625" style="1" customWidth="1"/>
    <col min="6917" max="6917" width="13.33203125" style="1" customWidth="1"/>
    <col min="6918" max="6918" width="16.44140625" style="1" customWidth="1"/>
    <col min="6919" max="6919" width="15.44140625" style="1" customWidth="1"/>
    <col min="6920" max="6920" width="14.6640625" style="1" customWidth="1"/>
    <col min="6921" max="6921" width="19" style="1" customWidth="1"/>
    <col min="6922" max="6922" width="16.109375" style="1" customWidth="1"/>
    <col min="6923" max="6923" width="14.109375" style="1" customWidth="1"/>
    <col min="6924" max="6924" width="13.33203125" style="1" customWidth="1"/>
    <col min="6925" max="6925" width="13.44140625" style="1" customWidth="1"/>
    <col min="6926" max="7169" width="9.109375" style="1"/>
    <col min="7170" max="7170" width="33.5546875" style="1" customWidth="1"/>
    <col min="7171" max="7171" width="17.88671875" style="1" customWidth="1"/>
    <col min="7172" max="7172" width="16.44140625" style="1" customWidth="1"/>
    <col min="7173" max="7173" width="13.33203125" style="1" customWidth="1"/>
    <col min="7174" max="7174" width="16.44140625" style="1" customWidth="1"/>
    <col min="7175" max="7175" width="15.44140625" style="1" customWidth="1"/>
    <col min="7176" max="7176" width="14.6640625" style="1" customWidth="1"/>
    <col min="7177" max="7177" width="19" style="1" customWidth="1"/>
    <col min="7178" max="7178" width="16.109375" style="1" customWidth="1"/>
    <col min="7179" max="7179" width="14.109375" style="1" customWidth="1"/>
    <col min="7180" max="7180" width="13.33203125" style="1" customWidth="1"/>
    <col min="7181" max="7181" width="13.44140625" style="1" customWidth="1"/>
    <col min="7182" max="7425" width="9.109375" style="1"/>
    <col min="7426" max="7426" width="33.5546875" style="1" customWidth="1"/>
    <col min="7427" max="7427" width="17.88671875" style="1" customWidth="1"/>
    <col min="7428" max="7428" width="16.44140625" style="1" customWidth="1"/>
    <col min="7429" max="7429" width="13.33203125" style="1" customWidth="1"/>
    <col min="7430" max="7430" width="16.44140625" style="1" customWidth="1"/>
    <col min="7431" max="7431" width="15.44140625" style="1" customWidth="1"/>
    <col min="7432" max="7432" width="14.6640625" style="1" customWidth="1"/>
    <col min="7433" max="7433" width="19" style="1" customWidth="1"/>
    <col min="7434" max="7434" width="16.109375" style="1" customWidth="1"/>
    <col min="7435" max="7435" width="14.109375" style="1" customWidth="1"/>
    <col min="7436" max="7436" width="13.33203125" style="1" customWidth="1"/>
    <col min="7437" max="7437" width="13.44140625" style="1" customWidth="1"/>
    <col min="7438" max="7681" width="9.109375" style="1"/>
    <col min="7682" max="7682" width="33.5546875" style="1" customWidth="1"/>
    <col min="7683" max="7683" width="17.88671875" style="1" customWidth="1"/>
    <col min="7684" max="7684" width="16.44140625" style="1" customWidth="1"/>
    <col min="7685" max="7685" width="13.33203125" style="1" customWidth="1"/>
    <col min="7686" max="7686" width="16.44140625" style="1" customWidth="1"/>
    <col min="7687" max="7687" width="15.44140625" style="1" customWidth="1"/>
    <col min="7688" max="7688" width="14.6640625" style="1" customWidth="1"/>
    <col min="7689" max="7689" width="19" style="1" customWidth="1"/>
    <col min="7690" max="7690" width="16.109375" style="1" customWidth="1"/>
    <col min="7691" max="7691" width="14.109375" style="1" customWidth="1"/>
    <col min="7692" max="7692" width="13.33203125" style="1" customWidth="1"/>
    <col min="7693" max="7693" width="13.44140625" style="1" customWidth="1"/>
    <col min="7694" max="7937" width="9.109375" style="1"/>
    <col min="7938" max="7938" width="33.5546875" style="1" customWidth="1"/>
    <col min="7939" max="7939" width="17.88671875" style="1" customWidth="1"/>
    <col min="7940" max="7940" width="16.44140625" style="1" customWidth="1"/>
    <col min="7941" max="7941" width="13.33203125" style="1" customWidth="1"/>
    <col min="7942" max="7942" width="16.44140625" style="1" customWidth="1"/>
    <col min="7943" max="7943" width="15.44140625" style="1" customWidth="1"/>
    <col min="7944" max="7944" width="14.6640625" style="1" customWidth="1"/>
    <col min="7945" max="7945" width="19" style="1" customWidth="1"/>
    <col min="7946" max="7946" width="16.109375" style="1" customWidth="1"/>
    <col min="7947" max="7947" width="14.109375" style="1" customWidth="1"/>
    <col min="7948" max="7948" width="13.33203125" style="1" customWidth="1"/>
    <col min="7949" max="7949" width="13.44140625" style="1" customWidth="1"/>
    <col min="7950" max="8193" width="9.109375" style="1"/>
    <col min="8194" max="8194" width="33.5546875" style="1" customWidth="1"/>
    <col min="8195" max="8195" width="17.88671875" style="1" customWidth="1"/>
    <col min="8196" max="8196" width="16.44140625" style="1" customWidth="1"/>
    <col min="8197" max="8197" width="13.33203125" style="1" customWidth="1"/>
    <col min="8198" max="8198" width="16.44140625" style="1" customWidth="1"/>
    <col min="8199" max="8199" width="15.44140625" style="1" customWidth="1"/>
    <col min="8200" max="8200" width="14.6640625" style="1" customWidth="1"/>
    <col min="8201" max="8201" width="19" style="1" customWidth="1"/>
    <col min="8202" max="8202" width="16.109375" style="1" customWidth="1"/>
    <col min="8203" max="8203" width="14.109375" style="1" customWidth="1"/>
    <col min="8204" max="8204" width="13.33203125" style="1" customWidth="1"/>
    <col min="8205" max="8205" width="13.44140625" style="1" customWidth="1"/>
    <col min="8206" max="8449" width="9.109375" style="1"/>
    <col min="8450" max="8450" width="33.5546875" style="1" customWidth="1"/>
    <col min="8451" max="8451" width="17.88671875" style="1" customWidth="1"/>
    <col min="8452" max="8452" width="16.44140625" style="1" customWidth="1"/>
    <col min="8453" max="8453" width="13.33203125" style="1" customWidth="1"/>
    <col min="8454" max="8454" width="16.44140625" style="1" customWidth="1"/>
    <col min="8455" max="8455" width="15.44140625" style="1" customWidth="1"/>
    <col min="8456" max="8456" width="14.6640625" style="1" customWidth="1"/>
    <col min="8457" max="8457" width="19" style="1" customWidth="1"/>
    <col min="8458" max="8458" width="16.109375" style="1" customWidth="1"/>
    <col min="8459" max="8459" width="14.109375" style="1" customWidth="1"/>
    <col min="8460" max="8460" width="13.33203125" style="1" customWidth="1"/>
    <col min="8461" max="8461" width="13.44140625" style="1" customWidth="1"/>
    <col min="8462" max="8705" width="9.109375" style="1"/>
    <col min="8706" max="8706" width="33.5546875" style="1" customWidth="1"/>
    <col min="8707" max="8707" width="17.88671875" style="1" customWidth="1"/>
    <col min="8708" max="8708" width="16.44140625" style="1" customWidth="1"/>
    <col min="8709" max="8709" width="13.33203125" style="1" customWidth="1"/>
    <col min="8710" max="8710" width="16.44140625" style="1" customWidth="1"/>
    <col min="8711" max="8711" width="15.44140625" style="1" customWidth="1"/>
    <col min="8712" max="8712" width="14.6640625" style="1" customWidth="1"/>
    <col min="8713" max="8713" width="19" style="1" customWidth="1"/>
    <col min="8714" max="8714" width="16.109375" style="1" customWidth="1"/>
    <col min="8715" max="8715" width="14.109375" style="1" customWidth="1"/>
    <col min="8716" max="8716" width="13.33203125" style="1" customWidth="1"/>
    <col min="8717" max="8717" width="13.44140625" style="1" customWidth="1"/>
    <col min="8718" max="8961" width="9.109375" style="1"/>
    <col min="8962" max="8962" width="33.5546875" style="1" customWidth="1"/>
    <col min="8963" max="8963" width="17.88671875" style="1" customWidth="1"/>
    <col min="8964" max="8964" width="16.44140625" style="1" customWidth="1"/>
    <col min="8965" max="8965" width="13.33203125" style="1" customWidth="1"/>
    <col min="8966" max="8966" width="16.44140625" style="1" customWidth="1"/>
    <col min="8967" max="8967" width="15.44140625" style="1" customWidth="1"/>
    <col min="8968" max="8968" width="14.6640625" style="1" customWidth="1"/>
    <col min="8969" max="8969" width="19" style="1" customWidth="1"/>
    <col min="8970" max="8970" width="16.109375" style="1" customWidth="1"/>
    <col min="8971" max="8971" width="14.109375" style="1" customWidth="1"/>
    <col min="8972" max="8972" width="13.33203125" style="1" customWidth="1"/>
    <col min="8973" max="8973" width="13.44140625" style="1" customWidth="1"/>
    <col min="8974" max="9217" width="9.109375" style="1"/>
    <col min="9218" max="9218" width="33.5546875" style="1" customWidth="1"/>
    <col min="9219" max="9219" width="17.88671875" style="1" customWidth="1"/>
    <col min="9220" max="9220" width="16.44140625" style="1" customWidth="1"/>
    <col min="9221" max="9221" width="13.33203125" style="1" customWidth="1"/>
    <col min="9222" max="9222" width="16.44140625" style="1" customWidth="1"/>
    <col min="9223" max="9223" width="15.44140625" style="1" customWidth="1"/>
    <col min="9224" max="9224" width="14.6640625" style="1" customWidth="1"/>
    <col min="9225" max="9225" width="19" style="1" customWidth="1"/>
    <col min="9226" max="9226" width="16.109375" style="1" customWidth="1"/>
    <col min="9227" max="9227" width="14.109375" style="1" customWidth="1"/>
    <col min="9228" max="9228" width="13.33203125" style="1" customWidth="1"/>
    <col min="9229" max="9229" width="13.44140625" style="1" customWidth="1"/>
    <col min="9230" max="9473" width="9.109375" style="1"/>
    <col min="9474" max="9474" width="33.5546875" style="1" customWidth="1"/>
    <col min="9475" max="9475" width="17.88671875" style="1" customWidth="1"/>
    <col min="9476" max="9476" width="16.44140625" style="1" customWidth="1"/>
    <col min="9477" max="9477" width="13.33203125" style="1" customWidth="1"/>
    <col min="9478" max="9478" width="16.44140625" style="1" customWidth="1"/>
    <col min="9479" max="9479" width="15.44140625" style="1" customWidth="1"/>
    <col min="9480" max="9480" width="14.6640625" style="1" customWidth="1"/>
    <col min="9481" max="9481" width="19" style="1" customWidth="1"/>
    <col min="9482" max="9482" width="16.109375" style="1" customWidth="1"/>
    <col min="9483" max="9483" width="14.109375" style="1" customWidth="1"/>
    <col min="9484" max="9484" width="13.33203125" style="1" customWidth="1"/>
    <col min="9485" max="9485" width="13.44140625" style="1" customWidth="1"/>
    <col min="9486" max="9729" width="9.109375" style="1"/>
    <col min="9730" max="9730" width="33.5546875" style="1" customWidth="1"/>
    <col min="9731" max="9731" width="17.88671875" style="1" customWidth="1"/>
    <col min="9732" max="9732" width="16.44140625" style="1" customWidth="1"/>
    <col min="9733" max="9733" width="13.33203125" style="1" customWidth="1"/>
    <col min="9734" max="9734" width="16.44140625" style="1" customWidth="1"/>
    <col min="9735" max="9735" width="15.44140625" style="1" customWidth="1"/>
    <col min="9736" max="9736" width="14.6640625" style="1" customWidth="1"/>
    <col min="9737" max="9737" width="19" style="1" customWidth="1"/>
    <col min="9738" max="9738" width="16.109375" style="1" customWidth="1"/>
    <col min="9739" max="9739" width="14.109375" style="1" customWidth="1"/>
    <col min="9740" max="9740" width="13.33203125" style="1" customWidth="1"/>
    <col min="9741" max="9741" width="13.44140625" style="1" customWidth="1"/>
    <col min="9742" max="9985" width="9.109375" style="1"/>
    <col min="9986" max="9986" width="33.5546875" style="1" customWidth="1"/>
    <col min="9987" max="9987" width="17.88671875" style="1" customWidth="1"/>
    <col min="9988" max="9988" width="16.44140625" style="1" customWidth="1"/>
    <col min="9989" max="9989" width="13.33203125" style="1" customWidth="1"/>
    <col min="9990" max="9990" width="16.44140625" style="1" customWidth="1"/>
    <col min="9991" max="9991" width="15.44140625" style="1" customWidth="1"/>
    <col min="9992" max="9992" width="14.6640625" style="1" customWidth="1"/>
    <col min="9993" max="9993" width="19" style="1" customWidth="1"/>
    <col min="9994" max="9994" width="16.109375" style="1" customWidth="1"/>
    <col min="9995" max="9995" width="14.109375" style="1" customWidth="1"/>
    <col min="9996" max="9996" width="13.33203125" style="1" customWidth="1"/>
    <col min="9997" max="9997" width="13.44140625" style="1" customWidth="1"/>
    <col min="9998" max="10241" width="9.109375" style="1"/>
    <col min="10242" max="10242" width="33.5546875" style="1" customWidth="1"/>
    <col min="10243" max="10243" width="17.88671875" style="1" customWidth="1"/>
    <col min="10244" max="10244" width="16.44140625" style="1" customWidth="1"/>
    <col min="10245" max="10245" width="13.33203125" style="1" customWidth="1"/>
    <col min="10246" max="10246" width="16.44140625" style="1" customWidth="1"/>
    <col min="10247" max="10247" width="15.44140625" style="1" customWidth="1"/>
    <col min="10248" max="10248" width="14.6640625" style="1" customWidth="1"/>
    <col min="10249" max="10249" width="19" style="1" customWidth="1"/>
    <col min="10250" max="10250" width="16.109375" style="1" customWidth="1"/>
    <col min="10251" max="10251" width="14.109375" style="1" customWidth="1"/>
    <col min="10252" max="10252" width="13.33203125" style="1" customWidth="1"/>
    <col min="10253" max="10253" width="13.44140625" style="1" customWidth="1"/>
    <col min="10254" max="10497" width="9.109375" style="1"/>
    <col min="10498" max="10498" width="33.5546875" style="1" customWidth="1"/>
    <col min="10499" max="10499" width="17.88671875" style="1" customWidth="1"/>
    <col min="10500" max="10500" width="16.44140625" style="1" customWidth="1"/>
    <col min="10501" max="10501" width="13.33203125" style="1" customWidth="1"/>
    <col min="10502" max="10502" width="16.44140625" style="1" customWidth="1"/>
    <col min="10503" max="10503" width="15.44140625" style="1" customWidth="1"/>
    <col min="10504" max="10504" width="14.6640625" style="1" customWidth="1"/>
    <col min="10505" max="10505" width="19" style="1" customWidth="1"/>
    <col min="10506" max="10506" width="16.109375" style="1" customWidth="1"/>
    <col min="10507" max="10507" width="14.109375" style="1" customWidth="1"/>
    <col min="10508" max="10508" width="13.33203125" style="1" customWidth="1"/>
    <col min="10509" max="10509" width="13.44140625" style="1" customWidth="1"/>
    <col min="10510" max="10753" width="9.109375" style="1"/>
    <col min="10754" max="10754" width="33.5546875" style="1" customWidth="1"/>
    <col min="10755" max="10755" width="17.88671875" style="1" customWidth="1"/>
    <col min="10756" max="10756" width="16.44140625" style="1" customWidth="1"/>
    <col min="10757" max="10757" width="13.33203125" style="1" customWidth="1"/>
    <col min="10758" max="10758" width="16.44140625" style="1" customWidth="1"/>
    <col min="10759" max="10759" width="15.44140625" style="1" customWidth="1"/>
    <col min="10760" max="10760" width="14.6640625" style="1" customWidth="1"/>
    <col min="10761" max="10761" width="19" style="1" customWidth="1"/>
    <col min="10762" max="10762" width="16.109375" style="1" customWidth="1"/>
    <col min="10763" max="10763" width="14.109375" style="1" customWidth="1"/>
    <col min="10764" max="10764" width="13.33203125" style="1" customWidth="1"/>
    <col min="10765" max="10765" width="13.44140625" style="1" customWidth="1"/>
    <col min="10766" max="11009" width="9.109375" style="1"/>
    <col min="11010" max="11010" width="33.5546875" style="1" customWidth="1"/>
    <col min="11011" max="11011" width="17.88671875" style="1" customWidth="1"/>
    <col min="11012" max="11012" width="16.44140625" style="1" customWidth="1"/>
    <col min="11013" max="11013" width="13.33203125" style="1" customWidth="1"/>
    <col min="11014" max="11014" width="16.44140625" style="1" customWidth="1"/>
    <col min="11015" max="11015" width="15.44140625" style="1" customWidth="1"/>
    <col min="11016" max="11016" width="14.6640625" style="1" customWidth="1"/>
    <col min="11017" max="11017" width="19" style="1" customWidth="1"/>
    <col min="11018" max="11018" width="16.109375" style="1" customWidth="1"/>
    <col min="11019" max="11019" width="14.109375" style="1" customWidth="1"/>
    <col min="11020" max="11020" width="13.33203125" style="1" customWidth="1"/>
    <col min="11021" max="11021" width="13.44140625" style="1" customWidth="1"/>
    <col min="11022" max="11265" width="9.109375" style="1"/>
    <col min="11266" max="11266" width="33.5546875" style="1" customWidth="1"/>
    <col min="11267" max="11267" width="17.88671875" style="1" customWidth="1"/>
    <col min="11268" max="11268" width="16.44140625" style="1" customWidth="1"/>
    <col min="11269" max="11269" width="13.33203125" style="1" customWidth="1"/>
    <col min="11270" max="11270" width="16.44140625" style="1" customWidth="1"/>
    <col min="11271" max="11271" width="15.44140625" style="1" customWidth="1"/>
    <col min="11272" max="11272" width="14.6640625" style="1" customWidth="1"/>
    <col min="11273" max="11273" width="19" style="1" customWidth="1"/>
    <col min="11274" max="11274" width="16.109375" style="1" customWidth="1"/>
    <col min="11275" max="11275" width="14.109375" style="1" customWidth="1"/>
    <col min="11276" max="11276" width="13.33203125" style="1" customWidth="1"/>
    <col min="11277" max="11277" width="13.44140625" style="1" customWidth="1"/>
    <col min="11278" max="11521" width="9.109375" style="1"/>
    <col min="11522" max="11522" width="33.5546875" style="1" customWidth="1"/>
    <col min="11523" max="11523" width="17.88671875" style="1" customWidth="1"/>
    <col min="11524" max="11524" width="16.44140625" style="1" customWidth="1"/>
    <col min="11525" max="11525" width="13.33203125" style="1" customWidth="1"/>
    <col min="11526" max="11526" width="16.44140625" style="1" customWidth="1"/>
    <col min="11527" max="11527" width="15.44140625" style="1" customWidth="1"/>
    <col min="11528" max="11528" width="14.6640625" style="1" customWidth="1"/>
    <col min="11529" max="11529" width="19" style="1" customWidth="1"/>
    <col min="11530" max="11530" width="16.109375" style="1" customWidth="1"/>
    <col min="11531" max="11531" width="14.109375" style="1" customWidth="1"/>
    <col min="11532" max="11532" width="13.33203125" style="1" customWidth="1"/>
    <col min="11533" max="11533" width="13.44140625" style="1" customWidth="1"/>
    <col min="11534" max="11777" width="9.109375" style="1"/>
    <col min="11778" max="11778" width="33.5546875" style="1" customWidth="1"/>
    <col min="11779" max="11779" width="17.88671875" style="1" customWidth="1"/>
    <col min="11780" max="11780" width="16.44140625" style="1" customWidth="1"/>
    <col min="11781" max="11781" width="13.33203125" style="1" customWidth="1"/>
    <col min="11782" max="11782" width="16.44140625" style="1" customWidth="1"/>
    <col min="11783" max="11783" width="15.44140625" style="1" customWidth="1"/>
    <col min="11784" max="11784" width="14.6640625" style="1" customWidth="1"/>
    <col min="11785" max="11785" width="19" style="1" customWidth="1"/>
    <col min="11786" max="11786" width="16.109375" style="1" customWidth="1"/>
    <col min="11787" max="11787" width="14.109375" style="1" customWidth="1"/>
    <col min="11788" max="11788" width="13.33203125" style="1" customWidth="1"/>
    <col min="11789" max="11789" width="13.44140625" style="1" customWidth="1"/>
    <col min="11790" max="12033" width="9.109375" style="1"/>
    <col min="12034" max="12034" width="33.5546875" style="1" customWidth="1"/>
    <col min="12035" max="12035" width="17.88671875" style="1" customWidth="1"/>
    <col min="12036" max="12036" width="16.44140625" style="1" customWidth="1"/>
    <col min="12037" max="12037" width="13.33203125" style="1" customWidth="1"/>
    <col min="12038" max="12038" width="16.44140625" style="1" customWidth="1"/>
    <col min="12039" max="12039" width="15.44140625" style="1" customWidth="1"/>
    <col min="12040" max="12040" width="14.6640625" style="1" customWidth="1"/>
    <col min="12041" max="12041" width="19" style="1" customWidth="1"/>
    <col min="12042" max="12042" width="16.109375" style="1" customWidth="1"/>
    <col min="12043" max="12043" width="14.109375" style="1" customWidth="1"/>
    <col min="12044" max="12044" width="13.33203125" style="1" customWidth="1"/>
    <col min="12045" max="12045" width="13.44140625" style="1" customWidth="1"/>
    <col min="12046" max="12289" width="9.109375" style="1"/>
    <col min="12290" max="12290" width="33.5546875" style="1" customWidth="1"/>
    <col min="12291" max="12291" width="17.88671875" style="1" customWidth="1"/>
    <col min="12292" max="12292" width="16.44140625" style="1" customWidth="1"/>
    <col min="12293" max="12293" width="13.33203125" style="1" customWidth="1"/>
    <col min="12294" max="12294" width="16.44140625" style="1" customWidth="1"/>
    <col min="12295" max="12295" width="15.44140625" style="1" customWidth="1"/>
    <col min="12296" max="12296" width="14.6640625" style="1" customWidth="1"/>
    <col min="12297" max="12297" width="19" style="1" customWidth="1"/>
    <col min="12298" max="12298" width="16.109375" style="1" customWidth="1"/>
    <col min="12299" max="12299" width="14.109375" style="1" customWidth="1"/>
    <col min="12300" max="12300" width="13.33203125" style="1" customWidth="1"/>
    <col min="12301" max="12301" width="13.44140625" style="1" customWidth="1"/>
    <col min="12302" max="12545" width="9.109375" style="1"/>
    <col min="12546" max="12546" width="33.5546875" style="1" customWidth="1"/>
    <col min="12547" max="12547" width="17.88671875" style="1" customWidth="1"/>
    <col min="12548" max="12548" width="16.44140625" style="1" customWidth="1"/>
    <col min="12549" max="12549" width="13.33203125" style="1" customWidth="1"/>
    <col min="12550" max="12550" width="16.44140625" style="1" customWidth="1"/>
    <col min="12551" max="12551" width="15.44140625" style="1" customWidth="1"/>
    <col min="12552" max="12552" width="14.6640625" style="1" customWidth="1"/>
    <col min="12553" max="12553" width="19" style="1" customWidth="1"/>
    <col min="12554" max="12554" width="16.109375" style="1" customWidth="1"/>
    <col min="12555" max="12555" width="14.109375" style="1" customWidth="1"/>
    <col min="12556" max="12556" width="13.33203125" style="1" customWidth="1"/>
    <col min="12557" max="12557" width="13.44140625" style="1" customWidth="1"/>
    <col min="12558" max="12801" width="9.109375" style="1"/>
    <col min="12802" max="12802" width="33.5546875" style="1" customWidth="1"/>
    <col min="12803" max="12803" width="17.88671875" style="1" customWidth="1"/>
    <col min="12804" max="12804" width="16.44140625" style="1" customWidth="1"/>
    <col min="12805" max="12805" width="13.33203125" style="1" customWidth="1"/>
    <col min="12806" max="12806" width="16.44140625" style="1" customWidth="1"/>
    <col min="12807" max="12807" width="15.44140625" style="1" customWidth="1"/>
    <col min="12808" max="12808" width="14.6640625" style="1" customWidth="1"/>
    <col min="12809" max="12809" width="19" style="1" customWidth="1"/>
    <col min="12810" max="12810" width="16.109375" style="1" customWidth="1"/>
    <col min="12811" max="12811" width="14.109375" style="1" customWidth="1"/>
    <col min="12812" max="12812" width="13.33203125" style="1" customWidth="1"/>
    <col min="12813" max="12813" width="13.44140625" style="1" customWidth="1"/>
    <col min="12814" max="13057" width="9.109375" style="1"/>
    <col min="13058" max="13058" width="33.5546875" style="1" customWidth="1"/>
    <col min="13059" max="13059" width="17.88671875" style="1" customWidth="1"/>
    <col min="13060" max="13060" width="16.44140625" style="1" customWidth="1"/>
    <col min="13061" max="13061" width="13.33203125" style="1" customWidth="1"/>
    <col min="13062" max="13062" width="16.44140625" style="1" customWidth="1"/>
    <col min="13063" max="13063" width="15.44140625" style="1" customWidth="1"/>
    <col min="13064" max="13064" width="14.6640625" style="1" customWidth="1"/>
    <col min="13065" max="13065" width="19" style="1" customWidth="1"/>
    <col min="13066" max="13066" width="16.109375" style="1" customWidth="1"/>
    <col min="13067" max="13067" width="14.109375" style="1" customWidth="1"/>
    <col min="13068" max="13068" width="13.33203125" style="1" customWidth="1"/>
    <col min="13069" max="13069" width="13.44140625" style="1" customWidth="1"/>
    <col min="13070" max="13313" width="9.109375" style="1"/>
    <col min="13314" max="13314" width="33.5546875" style="1" customWidth="1"/>
    <col min="13315" max="13315" width="17.88671875" style="1" customWidth="1"/>
    <col min="13316" max="13316" width="16.44140625" style="1" customWidth="1"/>
    <col min="13317" max="13317" width="13.33203125" style="1" customWidth="1"/>
    <col min="13318" max="13318" width="16.44140625" style="1" customWidth="1"/>
    <col min="13319" max="13319" width="15.44140625" style="1" customWidth="1"/>
    <col min="13320" max="13320" width="14.6640625" style="1" customWidth="1"/>
    <col min="13321" max="13321" width="19" style="1" customWidth="1"/>
    <col min="13322" max="13322" width="16.109375" style="1" customWidth="1"/>
    <col min="13323" max="13323" width="14.109375" style="1" customWidth="1"/>
    <col min="13324" max="13324" width="13.33203125" style="1" customWidth="1"/>
    <col min="13325" max="13325" width="13.44140625" style="1" customWidth="1"/>
    <col min="13326" max="13569" width="9.109375" style="1"/>
    <col min="13570" max="13570" width="33.5546875" style="1" customWidth="1"/>
    <col min="13571" max="13571" width="17.88671875" style="1" customWidth="1"/>
    <col min="13572" max="13572" width="16.44140625" style="1" customWidth="1"/>
    <col min="13573" max="13573" width="13.33203125" style="1" customWidth="1"/>
    <col min="13574" max="13574" width="16.44140625" style="1" customWidth="1"/>
    <col min="13575" max="13575" width="15.44140625" style="1" customWidth="1"/>
    <col min="13576" max="13576" width="14.6640625" style="1" customWidth="1"/>
    <col min="13577" max="13577" width="19" style="1" customWidth="1"/>
    <col min="13578" max="13578" width="16.109375" style="1" customWidth="1"/>
    <col min="13579" max="13579" width="14.109375" style="1" customWidth="1"/>
    <col min="13580" max="13580" width="13.33203125" style="1" customWidth="1"/>
    <col min="13581" max="13581" width="13.44140625" style="1" customWidth="1"/>
    <col min="13582" max="13825" width="9.109375" style="1"/>
    <col min="13826" max="13826" width="33.5546875" style="1" customWidth="1"/>
    <col min="13827" max="13827" width="17.88671875" style="1" customWidth="1"/>
    <col min="13828" max="13828" width="16.44140625" style="1" customWidth="1"/>
    <col min="13829" max="13829" width="13.33203125" style="1" customWidth="1"/>
    <col min="13830" max="13830" width="16.44140625" style="1" customWidth="1"/>
    <col min="13831" max="13831" width="15.44140625" style="1" customWidth="1"/>
    <col min="13832" max="13832" width="14.6640625" style="1" customWidth="1"/>
    <col min="13833" max="13833" width="19" style="1" customWidth="1"/>
    <col min="13834" max="13834" width="16.109375" style="1" customWidth="1"/>
    <col min="13835" max="13835" width="14.109375" style="1" customWidth="1"/>
    <col min="13836" max="13836" width="13.33203125" style="1" customWidth="1"/>
    <col min="13837" max="13837" width="13.44140625" style="1" customWidth="1"/>
    <col min="13838" max="14081" width="9.109375" style="1"/>
    <col min="14082" max="14082" width="33.5546875" style="1" customWidth="1"/>
    <col min="14083" max="14083" width="17.88671875" style="1" customWidth="1"/>
    <col min="14084" max="14084" width="16.44140625" style="1" customWidth="1"/>
    <col min="14085" max="14085" width="13.33203125" style="1" customWidth="1"/>
    <col min="14086" max="14086" width="16.44140625" style="1" customWidth="1"/>
    <col min="14087" max="14087" width="15.44140625" style="1" customWidth="1"/>
    <col min="14088" max="14088" width="14.6640625" style="1" customWidth="1"/>
    <col min="14089" max="14089" width="19" style="1" customWidth="1"/>
    <col min="14090" max="14090" width="16.109375" style="1" customWidth="1"/>
    <col min="14091" max="14091" width="14.109375" style="1" customWidth="1"/>
    <col min="14092" max="14092" width="13.33203125" style="1" customWidth="1"/>
    <col min="14093" max="14093" width="13.44140625" style="1" customWidth="1"/>
    <col min="14094" max="14337" width="9.109375" style="1"/>
    <col min="14338" max="14338" width="33.5546875" style="1" customWidth="1"/>
    <col min="14339" max="14339" width="17.88671875" style="1" customWidth="1"/>
    <col min="14340" max="14340" width="16.44140625" style="1" customWidth="1"/>
    <col min="14341" max="14341" width="13.33203125" style="1" customWidth="1"/>
    <col min="14342" max="14342" width="16.44140625" style="1" customWidth="1"/>
    <col min="14343" max="14343" width="15.44140625" style="1" customWidth="1"/>
    <col min="14344" max="14344" width="14.6640625" style="1" customWidth="1"/>
    <col min="14345" max="14345" width="19" style="1" customWidth="1"/>
    <col min="14346" max="14346" width="16.109375" style="1" customWidth="1"/>
    <col min="14347" max="14347" width="14.109375" style="1" customWidth="1"/>
    <col min="14348" max="14348" width="13.33203125" style="1" customWidth="1"/>
    <col min="14349" max="14349" width="13.44140625" style="1" customWidth="1"/>
    <col min="14350" max="14593" width="9.109375" style="1"/>
    <col min="14594" max="14594" width="33.5546875" style="1" customWidth="1"/>
    <col min="14595" max="14595" width="17.88671875" style="1" customWidth="1"/>
    <col min="14596" max="14596" width="16.44140625" style="1" customWidth="1"/>
    <col min="14597" max="14597" width="13.33203125" style="1" customWidth="1"/>
    <col min="14598" max="14598" width="16.44140625" style="1" customWidth="1"/>
    <col min="14599" max="14599" width="15.44140625" style="1" customWidth="1"/>
    <col min="14600" max="14600" width="14.6640625" style="1" customWidth="1"/>
    <col min="14601" max="14601" width="19" style="1" customWidth="1"/>
    <col min="14602" max="14602" width="16.109375" style="1" customWidth="1"/>
    <col min="14603" max="14603" width="14.109375" style="1" customWidth="1"/>
    <col min="14604" max="14604" width="13.33203125" style="1" customWidth="1"/>
    <col min="14605" max="14605" width="13.44140625" style="1" customWidth="1"/>
    <col min="14606" max="14849" width="9.109375" style="1"/>
    <col min="14850" max="14850" width="33.5546875" style="1" customWidth="1"/>
    <col min="14851" max="14851" width="17.88671875" style="1" customWidth="1"/>
    <col min="14852" max="14852" width="16.44140625" style="1" customWidth="1"/>
    <col min="14853" max="14853" width="13.33203125" style="1" customWidth="1"/>
    <col min="14854" max="14854" width="16.44140625" style="1" customWidth="1"/>
    <col min="14855" max="14855" width="15.44140625" style="1" customWidth="1"/>
    <col min="14856" max="14856" width="14.6640625" style="1" customWidth="1"/>
    <col min="14857" max="14857" width="19" style="1" customWidth="1"/>
    <col min="14858" max="14858" width="16.109375" style="1" customWidth="1"/>
    <col min="14859" max="14859" width="14.109375" style="1" customWidth="1"/>
    <col min="14860" max="14860" width="13.33203125" style="1" customWidth="1"/>
    <col min="14861" max="14861" width="13.44140625" style="1" customWidth="1"/>
    <col min="14862" max="15105" width="9.109375" style="1"/>
    <col min="15106" max="15106" width="33.5546875" style="1" customWidth="1"/>
    <col min="15107" max="15107" width="17.88671875" style="1" customWidth="1"/>
    <col min="15108" max="15108" width="16.44140625" style="1" customWidth="1"/>
    <col min="15109" max="15109" width="13.33203125" style="1" customWidth="1"/>
    <col min="15110" max="15110" width="16.44140625" style="1" customWidth="1"/>
    <col min="15111" max="15111" width="15.44140625" style="1" customWidth="1"/>
    <col min="15112" max="15112" width="14.6640625" style="1" customWidth="1"/>
    <col min="15113" max="15113" width="19" style="1" customWidth="1"/>
    <col min="15114" max="15114" width="16.109375" style="1" customWidth="1"/>
    <col min="15115" max="15115" width="14.109375" style="1" customWidth="1"/>
    <col min="15116" max="15116" width="13.33203125" style="1" customWidth="1"/>
    <col min="15117" max="15117" width="13.44140625" style="1" customWidth="1"/>
    <col min="15118" max="15361" width="9.109375" style="1"/>
    <col min="15362" max="15362" width="33.5546875" style="1" customWidth="1"/>
    <col min="15363" max="15363" width="17.88671875" style="1" customWidth="1"/>
    <col min="15364" max="15364" width="16.44140625" style="1" customWidth="1"/>
    <col min="15365" max="15365" width="13.33203125" style="1" customWidth="1"/>
    <col min="15366" max="15366" width="16.44140625" style="1" customWidth="1"/>
    <col min="15367" max="15367" width="15.44140625" style="1" customWidth="1"/>
    <col min="15368" max="15368" width="14.6640625" style="1" customWidth="1"/>
    <col min="15369" max="15369" width="19" style="1" customWidth="1"/>
    <col min="15370" max="15370" width="16.109375" style="1" customWidth="1"/>
    <col min="15371" max="15371" width="14.109375" style="1" customWidth="1"/>
    <col min="15372" max="15372" width="13.33203125" style="1" customWidth="1"/>
    <col min="15373" max="15373" width="13.44140625" style="1" customWidth="1"/>
    <col min="15374" max="15617" width="9.109375" style="1"/>
    <col min="15618" max="15618" width="33.5546875" style="1" customWidth="1"/>
    <col min="15619" max="15619" width="17.88671875" style="1" customWidth="1"/>
    <col min="15620" max="15620" width="16.44140625" style="1" customWidth="1"/>
    <col min="15621" max="15621" width="13.33203125" style="1" customWidth="1"/>
    <col min="15622" max="15622" width="16.44140625" style="1" customWidth="1"/>
    <col min="15623" max="15623" width="15.44140625" style="1" customWidth="1"/>
    <col min="15624" max="15624" width="14.6640625" style="1" customWidth="1"/>
    <col min="15625" max="15625" width="19" style="1" customWidth="1"/>
    <col min="15626" max="15626" width="16.109375" style="1" customWidth="1"/>
    <col min="15627" max="15627" width="14.109375" style="1" customWidth="1"/>
    <col min="15628" max="15628" width="13.33203125" style="1" customWidth="1"/>
    <col min="15629" max="15629" width="13.44140625" style="1" customWidth="1"/>
    <col min="15630" max="15873" width="9.109375" style="1"/>
    <col min="15874" max="15874" width="33.5546875" style="1" customWidth="1"/>
    <col min="15875" max="15875" width="17.88671875" style="1" customWidth="1"/>
    <col min="15876" max="15876" width="16.44140625" style="1" customWidth="1"/>
    <col min="15877" max="15877" width="13.33203125" style="1" customWidth="1"/>
    <col min="15878" max="15878" width="16.44140625" style="1" customWidth="1"/>
    <col min="15879" max="15879" width="15.44140625" style="1" customWidth="1"/>
    <col min="15880" max="15880" width="14.6640625" style="1" customWidth="1"/>
    <col min="15881" max="15881" width="19" style="1" customWidth="1"/>
    <col min="15882" max="15882" width="16.109375" style="1" customWidth="1"/>
    <col min="15883" max="15883" width="14.109375" style="1" customWidth="1"/>
    <col min="15884" max="15884" width="13.33203125" style="1" customWidth="1"/>
    <col min="15885" max="15885" width="13.44140625" style="1" customWidth="1"/>
    <col min="15886" max="16129" width="9.109375" style="1"/>
    <col min="16130" max="16130" width="33.5546875" style="1" customWidth="1"/>
    <col min="16131" max="16131" width="17.88671875" style="1" customWidth="1"/>
    <col min="16132" max="16132" width="16.44140625" style="1" customWidth="1"/>
    <col min="16133" max="16133" width="13.33203125" style="1" customWidth="1"/>
    <col min="16134" max="16134" width="16.44140625" style="1" customWidth="1"/>
    <col min="16135" max="16135" width="15.44140625" style="1" customWidth="1"/>
    <col min="16136" max="16136" width="14.6640625" style="1" customWidth="1"/>
    <col min="16137" max="16137" width="19" style="1" customWidth="1"/>
    <col min="16138" max="16138" width="16.109375" style="1" customWidth="1"/>
    <col min="16139" max="16139" width="14.109375" style="1" customWidth="1"/>
    <col min="16140" max="16140" width="13.33203125" style="1" customWidth="1"/>
    <col min="16141" max="16141" width="13.44140625" style="1" customWidth="1"/>
    <col min="16142" max="16384" width="9.109375" style="1"/>
  </cols>
  <sheetData>
    <row r="1" spans="1:13" ht="15.6" x14ac:dyDescent="0.3">
      <c r="L1" s="91" t="s">
        <v>92</v>
      </c>
      <c r="M1" s="91"/>
    </row>
    <row r="2" spans="1:13" ht="15.6" x14ac:dyDescent="0.3">
      <c r="L2" s="65" t="s">
        <v>81</v>
      </c>
      <c r="M2" s="65"/>
    </row>
    <row r="3" spans="1:13" ht="15.6" x14ac:dyDescent="0.3">
      <c r="L3" s="65" t="s">
        <v>89</v>
      </c>
      <c r="M3" s="65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399999999999999" x14ac:dyDescent="0.25">
      <c r="B5" s="85" t="s">
        <v>74</v>
      </c>
      <c r="C5" s="85"/>
      <c r="D5" s="85"/>
      <c r="E5" s="85"/>
      <c r="F5" s="85"/>
      <c r="G5" s="85"/>
      <c r="H5" s="85"/>
      <c r="I5" s="85"/>
      <c r="J5" s="85"/>
      <c r="K5" s="85"/>
    </row>
    <row r="6" spans="1:13" ht="17.399999999999999" x14ac:dyDescent="0.25">
      <c r="B6" s="86" t="s">
        <v>63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38" x14ac:dyDescent="0.25">
      <c r="A7" s="41" t="s">
        <v>1</v>
      </c>
      <c r="B7" s="41" t="s">
        <v>2</v>
      </c>
      <c r="C7" s="41" t="s">
        <v>66</v>
      </c>
      <c r="D7" s="41" t="s">
        <v>67</v>
      </c>
      <c r="E7" s="41" t="s">
        <v>3</v>
      </c>
      <c r="F7" s="41" t="s">
        <v>68</v>
      </c>
      <c r="G7" s="41" t="s">
        <v>69</v>
      </c>
      <c r="H7" s="41" t="s">
        <v>4</v>
      </c>
      <c r="I7" s="41" t="s">
        <v>5</v>
      </c>
      <c r="J7" s="41" t="s">
        <v>70</v>
      </c>
      <c r="K7" s="41" t="s">
        <v>71</v>
      </c>
      <c r="L7" s="41" t="s">
        <v>76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2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</row>
    <row r="9" spans="1:13" ht="36" x14ac:dyDescent="0.25">
      <c r="A9" s="69">
        <v>1</v>
      </c>
      <c r="B9" s="28" t="s">
        <v>8</v>
      </c>
      <c r="C9" s="3">
        <v>34.04</v>
      </c>
      <c r="D9" s="3">
        <v>46.81</v>
      </c>
      <c r="E9" s="72" t="s">
        <v>9</v>
      </c>
      <c r="F9" s="80">
        <v>4.4459999999999997</v>
      </c>
      <c r="G9" s="80">
        <v>4.4459999999999997</v>
      </c>
      <c r="H9" s="3" t="s">
        <v>10</v>
      </c>
      <c r="I9" s="3">
        <f>G9-F9</f>
        <v>0</v>
      </c>
      <c r="J9" s="39">
        <f>C9*F9*16</f>
        <v>2421.4694399999998</v>
      </c>
      <c r="K9" s="39">
        <f>D9*G9*16</f>
        <v>3329.8761599999998</v>
      </c>
      <c r="L9" s="76">
        <f>(K9+K10)/(J9+J10)*100</f>
        <v>137.51468860164513</v>
      </c>
      <c r="M9" s="24">
        <f>G9/F9*100</f>
        <v>100</v>
      </c>
    </row>
    <row r="10" spans="1:13" ht="36" x14ac:dyDescent="0.25">
      <c r="A10" s="70"/>
      <c r="B10" s="28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f>C10*4151.7/12</f>
        <v>11776.989</v>
      </c>
      <c r="K10" s="39">
        <f>D10*4151.7/12</f>
        <v>16195.089749999999</v>
      </c>
      <c r="L10" s="77"/>
      <c r="M10" s="4">
        <v>100</v>
      </c>
    </row>
    <row r="11" spans="1:13" ht="18" x14ac:dyDescent="0.25">
      <c r="A11" s="71"/>
      <c r="B11" s="28" t="s">
        <v>39</v>
      </c>
      <c r="C11" s="3">
        <v>34.04</v>
      </c>
      <c r="D11" s="3">
        <v>46.81</v>
      </c>
      <c r="E11" s="73"/>
      <c r="F11" s="20">
        <v>0</v>
      </c>
      <c r="G11" s="20">
        <v>0</v>
      </c>
      <c r="H11" s="3"/>
      <c r="I11" s="3">
        <f>G11-F11</f>
        <v>0</v>
      </c>
      <c r="J11" s="39">
        <v>0</v>
      </c>
      <c r="K11" s="39">
        <v>0</v>
      </c>
      <c r="L11" s="4">
        <v>0</v>
      </c>
      <c r="M11" s="4"/>
    </row>
    <row r="12" spans="1:13" ht="36" x14ac:dyDescent="0.25">
      <c r="A12" s="69">
        <v>2</v>
      </c>
      <c r="B12" s="28" t="s">
        <v>15</v>
      </c>
      <c r="C12" s="3">
        <v>129.56</v>
      </c>
      <c r="D12" s="3">
        <v>155.9</v>
      </c>
      <c r="E12" s="72" t="s">
        <v>9</v>
      </c>
      <c r="F12" s="83">
        <v>2.8730000000000002</v>
      </c>
      <c r="G12" s="83">
        <v>2.8730000000000002</v>
      </c>
      <c r="H12" s="3" t="s">
        <v>10</v>
      </c>
      <c r="I12" s="3">
        <f>G12-F12</f>
        <v>0</v>
      </c>
      <c r="J12" s="39">
        <f>C12*F12*15</f>
        <v>5583.3882000000003</v>
      </c>
      <c r="K12" s="39">
        <f>D12*G12*15</f>
        <v>6718.5105000000003</v>
      </c>
      <c r="L12" s="76">
        <f>(K12+K13)/(J12+J13)*100</f>
        <v>120.330348873109</v>
      </c>
      <c r="M12" s="24">
        <f>G12/F12*100</f>
        <v>100</v>
      </c>
    </row>
    <row r="13" spans="1:13" ht="36" x14ac:dyDescent="0.25">
      <c r="A13" s="70"/>
      <c r="B13" s="28" t="s">
        <v>16</v>
      </c>
      <c r="C13" s="3">
        <v>129.56</v>
      </c>
      <c r="D13" s="3">
        <v>155.9</v>
      </c>
      <c r="E13" s="73"/>
      <c r="F13" s="84"/>
      <c r="G13" s="84"/>
      <c r="H13" s="3" t="s">
        <v>35</v>
      </c>
      <c r="I13" s="3">
        <v>0</v>
      </c>
      <c r="J13" s="39">
        <f>C13*1036.64/12</f>
        <v>11192.256533333335</v>
      </c>
      <c r="K13" s="39">
        <f>D13*1036.64/12</f>
        <v>13467.681333333336</v>
      </c>
      <c r="L13" s="77"/>
      <c r="M13" s="4">
        <v>100</v>
      </c>
    </row>
    <row r="14" spans="1:13" ht="18" x14ac:dyDescent="0.25">
      <c r="A14" s="71"/>
      <c r="B14" s="28" t="s">
        <v>40</v>
      </c>
      <c r="C14" s="3">
        <v>129.56</v>
      </c>
      <c r="D14" s="3">
        <v>155.9</v>
      </c>
      <c r="E14" s="43"/>
      <c r="F14" s="21"/>
      <c r="G14" s="21"/>
      <c r="H14" s="3"/>
      <c r="I14" s="3"/>
      <c r="J14" s="39">
        <v>0</v>
      </c>
      <c r="K14" s="39">
        <v>0</v>
      </c>
      <c r="L14" s="44">
        <v>0</v>
      </c>
      <c r="M14" s="4"/>
    </row>
    <row r="15" spans="1:13" ht="36" x14ac:dyDescent="0.25">
      <c r="A15" s="69">
        <v>3</v>
      </c>
      <c r="B15" s="28" t="s">
        <v>17</v>
      </c>
      <c r="C15" s="3">
        <v>34.159999999999997</v>
      </c>
      <c r="D15" s="3">
        <v>46.54</v>
      </c>
      <c r="E15" s="72" t="s">
        <v>9</v>
      </c>
      <c r="F15" s="80">
        <v>7.319</v>
      </c>
      <c r="G15" s="80">
        <v>7.319</v>
      </c>
      <c r="H15" s="3" t="s">
        <v>10</v>
      </c>
      <c r="I15" s="3">
        <f>G15-F15</f>
        <v>0</v>
      </c>
      <c r="J15" s="39">
        <f>C15*F15*25</f>
        <v>6250.4259999999995</v>
      </c>
      <c r="K15" s="39">
        <f>D15*G15*25</f>
        <v>8515.656500000001</v>
      </c>
      <c r="L15" s="76">
        <f>(K15+K16)/(J15+J16)*100</f>
        <v>136.24121779859485</v>
      </c>
      <c r="M15" s="24">
        <f>G15/F15*100</f>
        <v>100</v>
      </c>
    </row>
    <row r="16" spans="1:13" ht="36" x14ac:dyDescent="0.25">
      <c r="A16" s="71"/>
      <c r="B16" s="28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>
        <f>C16*9289.82/12</f>
        <v>26445.02093333333</v>
      </c>
      <c r="K16" s="39">
        <f>D16*9289.82/12</f>
        <v>36029.018566666666</v>
      </c>
      <c r="L16" s="77"/>
      <c r="M16" s="4">
        <v>100</v>
      </c>
    </row>
    <row r="17" spans="1:13" ht="36" x14ac:dyDescent="0.25">
      <c r="A17" s="69">
        <v>4</v>
      </c>
      <c r="B17" s="28" t="s">
        <v>19</v>
      </c>
      <c r="C17" s="3">
        <v>1347.49</v>
      </c>
      <c r="D17" s="3">
        <v>1517.3</v>
      </c>
      <c r="E17" s="72" t="s">
        <v>20</v>
      </c>
      <c r="F17" s="80">
        <v>2.8000000000000001E-2</v>
      </c>
      <c r="G17" s="80">
        <v>2.8000000000000001E-2</v>
      </c>
      <c r="H17" s="3" t="s">
        <v>21</v>
      </c>
      <c r="I17" s="3">
        <f>G17-F17</f>
        <v>0</v>
      </c>
      <c r="J17" s="39">
        <f>C17*519*F17</f>
        <v>19581.724680000003</v>
      </c>
      <c r="K17" s="39">
        <f>D17*G17*519</f>
        <v>22049.403600000001</v>
      </c>
      <c r="L17" s="76">
        <f>(K17+K18)/(J17+J18)*100</f>
        <v>112.60194880852548</v>
      </c>
      <c r="M17" s="24">
        <f>G17/F17*100</f>
        <v>100</v>
      </c>
    </row>
    <row r="18" spans="1:13" ht="18" x14ac:dyDescent="0.25">
      <c r="A18" s="71"/>
      <c r="B18" s="28" t="s">
        <v>22</v>
      </c>
      <c r="C18" s="3">
        <v>1347.49</v>
      </c>
      <c r="D18" s="3">
        <v>1517.3</v>
      </c>
      <c r="E18" s="73"/>
      <c r="F18" s="81"/>
      <c r="G18" s="81"/>
      <c r="H18" s="3" t="s">
        <v>36</v>
      </c>
      <c r="I18" s="3">
        <v>0</v>
      </c>
      <c r="J18" s="39">
        <f>C18*705.39/9</f>
        <v>105611.77456666666</v>
      </c>
      <c r="K18" s="39">
        <f>D18*705.39/9</f>
        <v>118920.91633333333</v>
      </c>
      <c r="L18" s="77"/>
      <c r="M18" s="4">
        <v>100</v>
      </c>
    </row>
    <row r="19" spans="1:13" ht="36" x14ac:dyDescent="0.25">
      <c r="A19" s="69">
        <v>5</v>
      </c>
      <c r="B19" s="28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108.47953216374269</v>
      </c>
      <c r="M19" s="24">
        <f>G19/F19*100</f>
        <v>100</v>
      </c>
    </row>
    <row r="20" spans="1:13" ht="36" x14ac:dyDescent="0.25">
      <c r="A20" s="70"/>
      <c r="B20" s="28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19760.760000000002</v>
      </c>
      <c r="K20" s="39">
        <f>D20*G19*C26</f>
        <v>21436.38</v>
      </c>
      <c r="L20" s="77"/>
      <c r="M20" s="4">
        <v>100</v>
      </c>
    </row>
    <row r="21" spans="1:13" ht="18" x14ac:dyDescent="0.25">
      <c r="A21" s="71"/>
      <c r="B21" s="28" t="s">
        <v>41</v>
      </c>
      <c r="C21" s="3">
        <v>1.71</v>
      </c>
      <c r="D21" s="64">
        <v>1.855</v>
      </c>
      <c r="E21" s="43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"/>
    </row>
    <row r="22" spans="1:13" ht="36" x14ac:dyDescent="0.25">
      <c r="A22" s="69">
        <v>6</v>
      </c>
      <c r="B22" s="28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"/>
    </row>
    <row r="23" spans="1:13" ht="36" x14ac:dyDescent="0.25">
      <c r="A23" s="71"/>
      <c r="B23" s="28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">
        <v>100</v>
      </c>
    </row>
    <row r="24" spans="1:13" ht="15.6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J9+J10+J12+J13+J15++++++J16+J17+J18+J20</f>
        <v>208623.80935333332</v>
      </c>
      <c r="K24" s="47">
        <f>K9+K10+K12+K13+K15++++++K16+K17+K18+K20</f>
        <v>246662.53274333334</v>
      </c>
      <c r="L24" s="25">
        <f>K24/J24*100</f>
        <v>118.23316500063336</v>
      </c>
      <c r="M24" s="6" t="s">
        <v>11</v>
      </c>
    </row>
    <row r="26" spans="1:13" ht="31.2" x14ac:dyDescent="0.25">
      <c r="B26" s="7" t="s">
        <v>32</v>
      </c>
      <c r="C26" s="8">
        <v>107</v>
      </c>
    </row>
    <row r="27" spans="1:13" ht="15.6" x14ac:dyDescent="0.25">
      <c r="B27" s="7" t="s">
        <v>33</v>
      </c>
      <c r="C27" s="46">
        <v>3965.5</v>
      </c>
    </row>
    <row r="28" spans="1:13" ht="46.8" x14ac:dyDescent="0.25">
      <c r="B28" s="7" t="s">
        <v>80</v>
      </c>
      <c r="C28" s="26">
        <f>J24</f>
        <v>208623.80935333332</v>
      </c>
    </row>
    <row r="29" spans="1:13" ht="46.8" x14ac:dyDescent="0.25">
      <c r="B29" s="7" t="s">
        <v>79</v>
      </c>
      <c r="C29" s="26">
        <f>K24</f>
        <v>246662.53274333334</v>
      </c>
    </row>
    <row r="30" spans="1:13" ht="15.6" x14ac:dyDescent="0.25">
      <c r="B30" s="9"/>
      <c r="C30" s="32"/>
    </row>
    <row r="31" spans="1:13" ht="15.6" x14ac:dyDescent="0.25">
      <c r="B31" s="9"/>
      <c r="C31" s="10"/>
    </row>
    <row r="32" spans="1:13" ht="18" hidden="1" x14ac:dyDescent="0.35">
      <c r="B32" s="59" t="s">
        <v>59</v>
      </c>
      <c r="C32" s="11"/>
      <c r="D32" s="12"/>
      <c r="E32" s="13"/>
      <c r="F32" s="12"/>
      <c r="G32" s="13" t="s">
        <v>61</v>
      </c>
      <c r="H32" s="12"/>
    </row>
    <row r="33" spans="1:13" ht="18" hidden="1" x14ac:dyDescent="0.35">
      <c r="B33" s="12"/>
      <c r="C33" s="12"/>
      <c r="D33" s="12"/>
      <c r="E33" s="14" t="s">
        <v>34</v>
      </c>
      <c r="F33" s="12"/>
      <c r="G33" s="12" t="s">
        <v>62</v>
      </c>
      <c r="H33" s="12"/>
    </row>
    <row r="34" spans="1:13" ht="18" hidden="1" x14ac:dyDescent="0.35">
      <c r="B34" s="12"/>
      <c r="C34" s="12"/>
      <c r="D34" s="12"/>
      <c r="E34" s="14"/>
      <c r="F34" s="12"/>
      <c r="G34" s="12"/>
      <c r="H34" s="12"/>
    </row>
    <row r="35" spans="1:13" ht="18" hidden="1" x14ac:dyDescent="0.35">
      <c r="B35" s="15" t="s">
        <v>58</v>
      </c>
      <c r="C35" s="12"/>
      <c r="D35" s="12"/>
      <c r="E35" s="14"/>
      <c r="F35" s="12"/>
      <c r="G35" s="12"/>
      <c r="H35" s="12"/>
    </row>
    <row r="36" spans="1:13" ht="17.25" hidden="1" customHeight="1" x14ac:dyDescent="0.35">
      <c r="B36" s="15" t="s">
        <v>50</v>
      </c>
      <c r="C36" s="12"/>
      <c r="D36" s="12"/>
      <c r="E36" s="14"/>
      <c r="F36" s="12"/>
      <c r="G36" s="12"/>
      <c r="H36" s="12"/>
    </row>
    <row r="37" spans="1:13" ht="22.8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</sheetData>
  <mergeCells count="35">
    <mergeCell ref="A24:B24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  <mergeCell ref="G15:G16"/>
    <mergeCell ref="L15:L16"/>
    <mergeCell ref="A17:A18"/>
    <mergeCell ref="E17:E18"/>
    <mergeCell ref="F17:F18"/>
    <mergeCell ref="G17:G18"/>
    <mergeCell ref="L17:L18"/>
    <mergeCell ref="A12:A14"/>
    <mergeCell ref="E12:E13"/>
    <mergeCell ref="F12:F13"/>
    <mergeCell ref="G12:G13"/>
    <mergeCell ref="L12:L13"/>
    <mergeCell ref="L1:M1"/>
    <mergeCell ref="B4:K4"/>
    <mergeCell ref="B5:K5"/>
    <mergeCell ref="B6:K6"/>
    <mergeCell ref="A9:A11"/>
    <mergeCell ref="E9:E11"/>
    <mergeCell ref="F9:F10"/>
    <mergeCell ref="G9:G10"/>
    <mergeCell ref="L9:L10"/>
  </mergeCells>
  <pageMargins left="0.78740157480314965" right="0.39370078740157483" top="1.3779527559055118" bottom="0.7874015748031496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zoomScale="60" zoomScaleNormal="100" workbookViewId="0">
      <selection activeCell="H9" sqref="H9"/>
    </sheetView>
  </sheetViews>
  <sheetFormatPr defaultRowHeight="13.2" x14ac:dyDescent="0.25"/>
  <cols>
    <col min="1" max="1" width="9.109375" style="1"/>
    <col min="2" max="2" width="62" style="1" customWidth="1"/>
    <col min="3" max="3" width="17.88671875" style="1" customWidth="1"/>
    <col min="4" max="6" width="16.44140625" style="1" customWidth="1"/>
    <col min="7" max="7" width="18.5546875" style="1" customWidth="1"/>
    <col min="8" max="9" width="15.44140625" style="1" customWidth="1"/>
    <col min="10" max="10" width="23.109375" style="1" customWidth="1"/>
    <col min="11" max="11" width="24.109375" style="1" customWidth="1"/>
    <col min="12" max="12" width="17.5546875" style="1" customWidth="1"/>
    <col min="13" max="13" width="1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8" ht="15.6" x14ac:dyDescent="0.3">
      <c r="L1" s="90" t="s">
        <v>84</v>
      </c>
      <c r="M1" s="90"/>
    </row>
    <row r="2" spans="1:18" ht="15.6" x14ac:dyDescent="0.3">
      <c r="L2" s="18" t="s">
        <v>81</v>
      </c>
      <c r="M2" s="18"/>
    </row>
    <row r="3" spans="1:18" ht="15.6" x14ac:dyDescent="0.3">
      <c r="L3" s="18" t="s">
        <v>82</v>
      </c>
      <c r="M3" s="18"/>
    </row>
    <row r="4" spans="1:18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8" ht="20.399999999999999" x14ac:dyDescent="0.25">
      <c r="B5" s="85" t="s">
        <v>65</v>
      </c>
      <c r="C5" s="85"/>
      <c r="D5" s="85"/>
      <c r="E5" s="85"/>
      <c r="F5" s="85"/>
      <c r="G5" s="85"/>
      <c r="H5" s="85"/>
      <c r="I5" s="85"/>
      <c r="J5" s="85"/>
      <c r="K5" s="85"/>
    </row>
    <row r="6" spans="1:18" ht="39" customHeight="1" x14ac:dyDescent="0.25">
      <c r="B6" s="86" t="s">
        <v>45</v>
      </c>
      <c r="C6" s="86"/>
      <c r="D6" s="86"/>
      <c r="E6" s="86"/>
      <c r="F6" s="86"/>
      <c r="G6" s="86"/>
      <c r="H6" s="86"/>
      <c r="I6" s="86"/>
      <c r="J6" s="86"/>
      <c r="K6" s="86"/>
      <c r="M6" s="53"/>
    </row>
    <row r="7" spans="1:18" ht="168" customHeight="1" x14ac:dyDescent="0.25">
      <c r="A7" s="41" t="s">
        <v>1</v>
      </c>
      <c r="B7" s="41" t="s">
        <v>2</v>
      </c>
      <c r="C7" s="41" t="s">
        <v>66</v>
      </c>
      <c r="D7" s="41" t="s">
        <v>67</v>
      </c>
      <c r="E7" s="41" t="s">
        <v>3</v>
      </c>
      <c r="F7" s="41" t="s">
        <v>68</v>
      </c>
      <c r="G7" s="41" t="s">
        <v>69</v>
      </c>
      <c r="H7" s="41" t="s">
        <v>4</v>
      </c>
      <c r="I7" s="41" t="s">
        <v>5</v>
      </c>
      <c r="J7" s="41" t="s">
        <v>70</v>
      </c>
      <c r="K7" s="41" t="s">
        <v>71</v>
      </c>
      <c r="L7" s="41" t="s">
        <v>72</v>
      </c>
      <c r="M7" s="41" t="s">
        <v>57</v>
      </c>
    </row>
    <row r="8" spans="1:18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>
        <v>11</v>
      </c>
    </row>
    <row r="9" spans="1:18" ht="48" customHeight="1" x14ac:dyDescent="0.25">
      <c r="A9" s="69">
        <v>1</v>
      </c>
      <c r="B9" s="17" t="s">
        <v>8</v>
      </c>
      <c r="C9" s="3">
        <v>34.04</v>
      </c>
      <c r="D9" s="3">
        <v>46.81</v>
      </c>
      <c r="E9" s="72" t="s">
        <v>9</v>
      </c>
      <c r="F9" s="80">
        <v>3.927</v>
      </c>
      <c r="G9" s="80">
        <v>3.927</v>
      </c>
      <c r="H9" s="3" t="s">
        <v>10</v>
      </c>
      <c r="I9" s="3">
        <f>G9-F9</f>
        <v>0</v>
      </c>
      <c r="J9" s="4">
        <f>C9*F9*0</f>
        <v>0</v>
      </c>
      <c r="K9" s="4">
        <f>D9*G9*0</f>
        <v>0</v>
      </c>
      <c r="L9" s="76">
        <f>(K9+K10)/(J9+J10)*100</f>
        <v>137.5146886016451</v>
      </c>
      <c r="M9" s="40">
        <f>G9/F9*100</f>
        <v>100</v>
      </c>
    </row>
    <row r="10" spans="1:18" ht="34.5" customHeight="1" x14ac:dyDescent="0.25">
      <c r="A10" s="70"/>
      <c r="B10" s="17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f>C10*555/12</f>
        <v>1574.3500000000001</v>
      </c>
      <c r="K10" s="39">
        <f>D10*555/12</f>
        <v>2164.9625000000001</v>
      </c>
      <c r="L10" s="77"/>
      <c r="M10" s="40"/>
    </row>
    <row r="11" spans="1:18" ht="34.5" customHeight="1" x14ac:dyDescent="0.25">
      <c r="A11" s="71"/>
      <c r="B11" s="17" t="s">
        <v>39</v>
      </c>
      <c r="C11" s="3">
        <v>34.04</v>
      </c>
      <c r="D11" s="3">
        <v>46.81</v>
      </c>
      <c r="E11" s="73"/>
      <c r="F11" s="20">
        <v>2.7E-2</v>
      </c>
      <c r="G11" s="20">
        <v>2.7E-2</v>
      </c>
      <c r="H11" s="3"/>
      <c r="I11" s="3">
        <f>G11-F11</f>
        <v>0</v>
      </c>
      <c r="J11" s="39">
        <v>0</v>
      </c>
      <c r="K11" s="39">
        <v>0</v>
      </c>
      <c r="L11" s="4">
        <v>0</v>
      </c>
      <c r="M11" s="40">
        <f t="shared" ref="M11:M19" si="0">G11/F11*100</f>
        <v>100</v>
      </c>
      <c r="R11" s="1" t="s">
        <v>46</v>
      </c>
    </row>
    <row r="12" spans="1:18" ht="51" customHeight="1" x14ac:dyDescent="0.25">
      <c r="A12" s="69">
        <v>2</v>
      </c>
      <c r="B12" s="17" t="s">
        <v>15</v>
      </c>
      <c r="C12" s="3" t="s">
        <v>44</v>
      </c>
      <c r="D12" s="3"/>
      <c r="E12" s="72" t="s">
        <v>9</v>
      </c>
      <c r="F12" s="74"/>
      <c r="G12" s="74" t="s">
        <v>46</v>
      </c>
      <c r="H12" s="3" t="s">
        <v>10</v>
      </c>
      <c r="I12" s="3"/>
      <c r="J12" s="39" t="s">
        <v>42</v>
      </c>
      <c r="K12" s="39" t="s">
        <v>43</v>
      </c>
      <c r="L12" s="78"/>
      <c r="M12" s="40"/>
    </row>
    <row r="13" spans="1:18" ht="42.75" customHeight="1" x14ac:dyDescent="0.25">
      <c r="A13" s="70"/>
      <c r="B13" s="17" t="s">
        <v>16</v>
      </c>
      <c r="C13" s="3" t="s">
        <v>44</v>
      </c>
      <c r="D13" s="3"/>
      <c r="E13" s="73"/>
      <c r="F13" s="75"/>
      <c r="G13" s="75"/>
      <c r="H13" s="3" t="s">
        <v>35</v>
      </c>
      <c r="I13" s="3">
        <v>0</v>
      </c>
      <c r="J13" s="39" t="s">
        <v>13</v>
      </c>
      <c r="K13" s="39" t="s">
        <v>14</v>
      </c>
      <c r="L13" s="79"/>
      <c r="M13" s="40"/>
    </row>
    <row r="14" spans="1:18" ht="42.75" customHeight="1" x14ac:dyDescent="0.25">
      <c r="A14" s="71"/>
      <c r="B14" s="17" t="s">
        <v>40</v>
      </c>
      <c r="C14" s="3" t="s">
        <v>44</v>
      </c>
      <c r="D14" s="3"/>
      <c r="E14" s="63" t="s">
        <v>46</v>
      </c>
      <c r="F14" s="21"/>
      <c r="G14" s="21"/>
      <c r="H14" s="3"/>
      <c r="I14" s="3"/>
      <c r="J14" s="39"/>
      <c r="K14" s="39"/>
      <c r="L14" s="62"/>
      <c r="M14" s="40"/>
    </row>
    <row r="15" spans="1:18" ht="48.75" customHeight="1" x14ac:dyDescent="0.25">
      <c r="A15" s="69">
        <v>3</v>
      </c>
      <c r="B15" s="17" t="s">
        <v>17</v>
      </c>
      <c r="C15" s="3">
        <v>34.159999999999997</v>
      </c>
      <c r="D15" s="3">
        <v>46.54</v>
      </c>
      <c r="E15" s="72" t="s">
        <v>9</v>
      </c>
      <c r="F15" s="80">
        <v>3.927</v>
      </c>
      <c r="G15" s="80">
        <v>3.927</v>
      </c>
      <c r="H15" s="3" t="s">
        <v>10</v>
      </c>
      <c r="I15" s="3">
        <f>G15-F15</f>
        <v>0</v>
      </c>
      <c r="J15" s="39">
        <v>0</v>
      </c>
      <c r="K15" s="39">
        <v>0</v>
      </c>
      <c r="L15" s="76">
        <f>(K15+K16)/(J15+J16)*100</f>
        <v>136.24121779859485</v>
      </c>
      <c r="M15" s="40">
        <f t="shared" si="0"/>
        <v>100</v>
      </c>
    </row>
    <row r="16" spans="1:18" ht="40.5" customHeight="1" x14ac:dyDescent="0.25">
      <c r="A16" s="71"/>
      <c r="B16" s="17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>
        <f>C16*555/12</f>
        <v>1579.8999999999999</v>
      </c>
      <c r="K16" s="39">
        <f>D16*555/12</f>
        <v>2152.4749999999999</v>
      </c>
      <c r="L16" s="77"/>
      <c r="M16" s="40"/>
    </row>
    <row r="17" spans="1:13" ht="48.75" customHeight="1" x14ac:dyDescent="0.25">
      <c r="A17" s="69">
        <v>4</v>
      </c>
      <c r="B17" s="17" t="s">
        <v>19</v>
      </c>
      <c r="C17" s="3">
        <v>1347.49</v>
      </c>
      <c r="D17" s="39">
        <v>1517.3</v>
      </c>
      <c r="E17" s="72" t="s">
        <v>20</v>
      </c>
      <c r="F17" s="80">
        <v>3.9300000000000002E-2</v>
      </c>
      <c r="G17" s="80">
        <v>3.9300000000000002E-2</v>
      </c>
      <c r="H17" s="3" t="s">
        <v>21</v>
      </c>
      <c r="I17" s="3">
        <f>G17-F17</f>
        <v>0</v>
      </c>
      <c r="J17" s="39">
        <f>C17*193.5*F17</f>
        <v>10247.0550795</v>
      </c>
      <c r="K17" s="39">
        <f>D17*193.5*G17</f>
        <v>11538.383715</v>
      </c>
      <c r="L17" s="76">
        <f>(K17+K18)/(J17+J18)*100</f>
        <v>112.60194880852548</v>
      </c>
      <c r="M17" s="42">
        <f t="shared" si="0"/>
        <v>100</v>
      </c>
    </row>
    <row r="18" spans="1:13" ht="33.75" customHeight="1" x14ac:dyDescent="0.25">
      <c r="A18" s="71"/>
      <c r="B18" s="17" t="s">
        <v>22</v>
      </c>
      <c r="C18" s="3">
        <v>1347.49</v>
      </c>
      <c r="D18" s="39">
        <v>1517.3</v>
      </c>
      <c r="E18" s="73"/>
      <c r="F18" s="81"/>
      <c r="G18" s="81"/>
      <c r="H18" s="3" t="s">
        <v>36</v>
      </c>
      <c r="I18" s="3">
        <v>0</v>
      </c>
      <c r="J18" s="39">
        <v>0</v>
      </c>
      <c r="K18" s="39">
        <v>0</v>
      </c>
      <c r="L18" s="77"/>
      <c r="M18" s="40"/>
    </row>
    <row r="19" spans="1:13" ht="44.25" customHeight="1" x14ac:dyDescent="0.25">
      <c r="A19" s="69">
        <v>5</v>
      </c>
      <c r="B19" s="17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108.47953216374269</v>
      </c>
      <c r="M19" s="40">
        <f t="shared" si="0"/>
        <v>100</v>
      </c>
    </row>
    <row r="20" spans="1:13" ht="34.5" customHeight="1" x14ac:dyDescent="0.25">
      <c r="A20" s="70"/>
      <c r="B20" s="17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4801.68</v>
      </c>
      <c r="K20" s="39">
        <f>D20*G19*C26</f>
        <v>5208.84</v>
      </c>
      <c r="L20" s="77"/>
      <c r="M20" s="40"/>
    </row>
    <row r="21" spans="1:13" ht="34.5" customHeight="1" x14ac:dyDescent="0.25">
      <c r="A21" s="71"/>
      <c r="B21" s="17" t="s">
        <v>41</v>
      </c>
      <c r="C21" s="3">
        <v>1.71</v>
      </c>
      <c r="D21" s="64">
        <v>1.855</v>
      </c>
      <c r="E21" s="63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0"/>
    </row>
    <row r="22" spans="1:13" ht="51" customHeight="1" x14ac:dyDescent="0.25">
      <c r="A22" s="69">
        <v>6</v>
      </c>
      <c r="B22" s="17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0"/>
    </row>
    <row r="23" spans="1:13" ht="45" customHeight="1" x14ac:dyDescent="0.25">
      <c r="A23" s="71"/>
      <c r="B23" s="17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0"/>
    </row>
    <row r="24" spans="1:13" ht="33.75" customHeight="1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J10+J16+J17+J20</f>
        <v>18202.985079500002</v>
      </c>
      <c r="K24" s="47">
        <f>K10+K16+K17+K20</f>
        <v>21064.661215</v>
      </c>
      <c r="L24" s="47">
        <f>K24/J24*100</f>
        <v>115.72091677821999</v>
      </c>
      <c r="M24" s="40"/>
    </row>
    <row r="26" spans="1:13" ht="31.2" x14ac:dyDescent="0.25">
      <c r="B26" s="7" t="s">
        <v>32</v>
      </c>
      <c r="C26" s="8">
        <v>26</v>
      </c>
    </row>
    <row r="27" spans="1:13" ht="15.6" x14ac:dyDescent="0.25">
      <c r="B27" s="7" t="s">
        <v>33</v>
      </c>
      <c r="C27" s="8">
        <v>193.5</v>
      </c>
      <c r="E27" s="1" t="s">
        <v>46</v>
      </c>
    </row>
    <row r="28" spans="1:13" ht="66.75" customHeight="1" x14ac:dyDescent="0.25">
      <c r="B28" s="7" t="s">
        <v>78</v>
      </c>
      <c r="C28" s="26">
        <f>J24</f>
        <v>18202.985079500002</v>
      </c>
    </row>
    <row r="29" spans="1:13" ht="66.75" customHeight="1" x14ac:dyDescent="0.25">
      <c r="B29" s="7" t="s">
        <v>79</v>
      </c>
      <c r="C29" s="26">
        <f>K24</f>
        <v>21064.661215</v>
      </c>
    </row>
    <row r="30" spans="1:13" ht="66.75" hidden="1" customHeight="1" x14ac:dyDescent="0.25">
      <c r="B30" s="9"/>
      <c r="C30" s="10"/>
    </row>
    <row r="31" spans="1:13" ht="51.75" hidden="1" customHeight="1" x14ac:dyDescent="0.35">
      <c r="B31" s="68" t="s">
        <v>59</v>
      </c>
      <c r="C31" s="11"/>
      <c r="D31" s="12"/>
      <c r="E31" s="11"/>
      <c r="F31" s="12"/>
      <c r="G31" s="11"/>
      <c r="H31" s="12"/>
    </row>
    <row r="32" spans="1:13" ht="22.8" hidden="1" x14ac:dyDescent="0.4">
      <c r="B32" s="68"/>
      <c r="C32" s="12"/>
      <c r="D32" s="54" t="s">
        <v>60</v>
      </c>
      <c r="E32" s="55"/>
      <c r="F32" s="11"/>
      <c r="G32" s="56" t="s">
        <v>61</v>
      </c>
      <c r="H32" s="11"/>
    </row>
    <row r="33" spans="1:12" ht="18" hidden="1" x14ac:dyDescent="0.35">
      <c r="B33" s="12"/>
      <c r="C33" s="12"/>
      <c r="D33" s="57" t="s">
        <v>34</v>
      </c>
      <c r="E33" s="58"/>
      <c r="F33" s="15"/>
      <c r="G33" s="15" t="s">
        <v>62</v>
      </c>
      <c r="H33" s="15"/>
    </row>
    <row r="34" spans="1:12" ht="18" hidden="1" x14ac:dyDescent="0.35">
      <c r="B34" s="18"/>
      <c r="C34" s="12"/>
      <c r="D34" s="12"/>
      <c r="E34" s="14"/>
      <c r="F34" s="12"/>
      <c r="G34" s="12"/>
      <c r="H34" s="12"/>
    </row>
    <row r="35" spans="1:12" ht="18" hidden="1" x14ac:dyDescent="0.35">
      <c r="B35" s="15"/>
      <c r="C35" s="12"/>
      <c r="D35" s="12"/>
      <c r="E35" s="14"/>
      <c r="F35" s="12"/>
      <c r="G35" s="12"/>
      <c r="H35" s="12"/>
    </row>
    <row r="36" spans="1:12" ht="22.8" hidden="1" x14ac:dyDescent="0.4">
      <c r="A36" s="16"/>
      <c r="B36" s="18" t="s">
        <v>58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idden="1" x14ac:dyDescent="0.25">
      <c r="B37" s="15" t="s">
        <v>50</v>
      </c>
    </row>
    <row r="38" spans="1:12" hidden="1" x14ac:dyDescent="0.25"/>
  </sheetData>
  <mergeCells count="36">
    <mergeCell ref="B4:K4"/>
    <mergeCell ref="B5:K5"/>
    <mergeCell ref="B6:K6"/>
    <mergeCell ref="A9:A11"/>
    <mergeCell ref="E9:E11"/>
    <mergeCell ref="F9:F10"/>
    <mergeCell ref="G9:G10"/>
    <mergeCell ref="L9:L10"/>
    <mergeCell ref="A12:A14"/>
    <mergeCell ref="E12:E13"/>
    <mergeCell ref="F12:F13"/>
    <mergeCell ref="G12:G13"/>
    <mergeCell ref="L12:L13"/>
    <mergeCell ref="G15:G16"/>
    <mergeCell ref="L15:L16"/>
    <mergeCell ref="A17:A18"/>
    <mergeCell ref="E17:E18"/>
    <mergeCell ref="F17:F18"/>
    <mergeCell ref="G17:G18"/>
    <mergeCell ref="L17:L18"/>
    <mergeCell ref="L1:M1"/>
    <mergeCell ref="A24:B24"/>
    <mergeCell ref="B31:B32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</mergeCells>
  <pageMargins left="0.78740157480314965" right="0.39370078740157483" top="1.3779527559055118" bottom="0.78740157480314965" header="0.31496062992125984" footer="0.31496062992125984"/>
  <pageSetup paperSize="9" scale="46" orientation="landscape" r:id="rId1"/>
  <rowBreaks count="1" manualBreakCount="1">
    <brk id="2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60" zoomScaleNormal="100" workbookViewId="0">
      <selection activeCell="E28" sqref="E28"/>
    </sheetView>
  </sheetViews>
  <sheetFormatPr defaultRowHeight="13.2" x14ac:dyDescent="0.25"/>
  <cols>
    <col min="1" max="1" width="9.109375" style="1"/>
    <col min="2" max="2" width="52.33203125" style="1" customWidth="1"/>
    <col min="3" max="3" width="17.88671875" style="1" customWidth="1"/>
    <col min="4" max="6" width="16.44140625" style="1" customWidth="1"/>
    <col min="7" max="7" width="18.5546875" style="1" customWidth="1"/>
    <col min="8" max="9" width="15.44140625" style="1" customWidth="1"/>
    <col min="10" max="10" width="25.44140625" style="1" customWidth="1"/>
    <col min="11" max="11" width="22.5546875" style="1" customWidth="1"/>
    <col min="12" max="12" width="18.6640625" style="1" customWidth="1"/>
    <col min="13" max="13" width="12.8867187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15.6" x14ac:dyDescent="0.3">
      <c r="L1" s="91" t="s">
        <v>85</v>
      </c>
      <c r="M1" s="91"/>
    </row>
    <row r="2" spans="1:13" ht="15.6" x14ac:dyDescent="0.3">
      <c r="L2" s="18" t="s">
        <v>81</v>
      </c>
      <c r="M2" s="18"/>
    </row>
    <row r="3" spans="1:13" ht="15.6" x14ac:dyDescent="0.3">
      <c r="L3" s="18" t="s">
        <v>82</v>
      </c>
      <c r="M3" s="18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399999999999999" x14ac:dyDescent="0.25">
      <c r="B5" s="85" t="s">
        <v>74</v>
      </c>
      <c r="C5" s="85"/>
      <c r="D5" s="85"/>
      <c r="E5" s="85"/>
      <c r="F5" s="85"/>
      <c r="G5" s="85"/>
      <c r="H5" s="85"/>
      <c r="I5" s="85"/>
      <c r="J5" s="85"/>
      <c r="K5" s="85"/>
    </row>
    <row r="6" spans="1:13" ht="17.399999999999999" x14ac:dyDescent="0.25">
      <c r="B6" s="86" t="s">
        <v>53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38" x14ac:dyDescent="0.25">
      <c r="A7" s="19" t="s">
        <v>1</v>
      </c>
      <c r="B7" s="19" t="s">
        <v>2</v>
      </c>
      <c r="C7" s="19" t="s">
        <v>66</v>
      </c>
      <c r="D7" s="19" t="s">
        <v>67</v>
      </c>
      <c r="E7" s="19" t="s">
        <v>3</v>
      </c>
      <c r="F7" s="19" t="s">
        <v>68</v>
      </c>
      <c r="G7" s="19" t="s">
        <v>69</v>
      </c>
      <c r="H7" s="19" t="s">
        <v>4</v>
      </c>
      <c r="I7" s="19" t="s">
        <v>5</v>
      </c>
      <c r="J7" s="19" t="s">
        <v>70</v>
      </c>
      <c r="K7" s="19" t="s">
        <v>71</v>
      </c>
      <c r="L7" s="19" t="s">
        <v>75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>
        <v>11</v>
      </c>
    </row>
    <row r="9" spans="1:13" ht="36" x14ac:dyDescent="0.25">
      <c r="A9" s="69">
        <v>1</v>
      </c>
      <c r="B9" s="28" t="s">
        <v>8</v>
      </c>
      <c r="C9" s="3">
        <v>34.04</v>
      </c>
      <c r="D9" s="3">
        <v>46.81</v>
      </c>
      <c r="E9" s="72" t="s">
        <v>9</v>
      </c>
      <c r="F9" s="80">
        <v>3.9009999999999998</v>
      </c>
      <c r="G9" s="80">
        <v>3.9009999999999998</v>
      </c>
      <c r="H9" s="3" t="s">
        <v>10</v>
      </c>
      <c r="I9" s="3">
        <f>G9-F9</f>
        <v>0</v>
      </c>
      <c r="J9" s="4">
        <f>C9*F9*0</f>
        <v>0</v>
      </c>
      <c r="K9" s="4">
        <f>D9*G9*0</f>
        <v>0</v>
      </c>
      <c r="L9" s="76">
        <f>(K9+K10)/(J9+J10)*100</f>
        <v>137.51468860164513</v>
      </c>
      <c r="M9" s="40">
        <f>G9/F9*100</f>
        <v>100</v>
      </c>
    </row>
    <row r="10" spans="1:13" ht="36" x14ac:dyDescent="0.25">
      <c r="A10" s="70"/>
      <c r="B10" s="28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f>C10*1325/12</f>
        <v>3758.5833333333335</v>
      </c>
      <c r="K10" s="39">
        <f>D10*1325/12</f>
        <v>5168.604166666667</v>
      </c>
      <c r="L10" s="77"/>
      <c r="M10" s="40"/>
    </row>
    <row r="11" spans="1:13" ht="18" x14ac:dyDescent="0.25">
      <c r="A11" s="71"/>
      <c r="B11" s="28" t="s">
        <v>39</v>
      </c>
      <c r="C11" s="3">
        <v>34.04</v>
      </c>
      <c r="D11" s="3">
        <v>46.81</v>
      </c>
      <c r="E11" s="73"/>
      <c r="F11" s="20">
        <v>2.7E-2</v>
      </c>
      <c r="G11" s="20">
        <v>2.7E-2</v>
      </c>
      <c r="H11" s="3"/>
      <c r="I11" s="3">
        <f>G11-F11</f>
        <v>0</v>
      </c>
      <c r="J11" s="39">
        <v>0</v>
      </c>
      <c r="K11" s="39">
        <v>0</v>
      </c>
      <c r="L11" s="4">
        <v>0</v>
      </c>
      <c r="M11" s="40">
        <f t="shared" ref="M11:M19" si="0">G11/F11*100</f>
        <v>100</v>
      </c>
    </row>
    <row r="12" spans="1:13" ht="36" x14ac:dyDescent="0.25">
      <c r="A12" s="69">
        <v>2</v>
      </c>
      <c r="B12" s="28" t="s">
        <v>15</v>
      </c>
      <c r="C12" s="3">
        <v>129.56</v>
      </c>
      <c r="D12" s="3">
        <v>155.9</v>
      </c>
      <c r="E12" s="72" t="s">
        <v>9</v>
      </c>
      <c r="F12" s="83">
        <v>3.4180000000000001</v>
      </c>
      <c r="G12" s="83">
        <v>3.4180000000000001</v>
      </c>
      <c r="H12" s="3" t="s">
        <v>10</v>
      </c>
      <c r="I12" s="3">
        <f>G12-F12</f>
        <v>0</v>
      </c>
      <c r="J12" s="39">
        <v>0</v>
      </c>
      <c r="K12" s="39">
        <v>0</v>
      </c>
      <c r="L12" s="76">
        <f>(K12+K13)/(J12+J13)*100</f>
        <v>120.33034887310899</v>
      </c>
      <c r="M12" s="40">
        <f t="shared" si="0"/>
        <v>100</v>
      </c>
    </row>
    <row r="13" spans="1:13" ht="36" x14ac:dyDescent="0.25">
      <c r="A13" s="70"/>
      <c r="B13" s="28" t="s">
        <v>16</v>
      </c>
      <c r="C13" s="3">
        <v>129.56</v>
      </c>
      <c r="D13" s="3">
        <v>155.9</v>
      </c>
      <c r="E13" s="73"/>
      <c r="F13" s="84"/>
      <c r="G13" s="84"/>
      <c r="H13" s="3" t="s">
        <v>35</v>
      </c>
      <c r="I13" s="3">
        <v>0</v>
      </c>
      <c r="J13" s="39">
        <f>C13*1176/12</f>
        <v>12696.88</v>
      </c>
      <c r="K13" s="39">
        <f>D13*1176/12</f>
        <v>15278.199999999999</v>
      </c>
      <c r="L13" s="77"/>
      <c r="M13" s="40"/>
    </row>
    <row r="14" spans="1:13" ht="18" x14ac:dyDescent="0.25">
      <c r="A14" s="71"/>
      <c r="B14" s="28" t="s">
        <v>40</v>
      </c>
      <c r="C14" s="3">
        <v>129.56</v>
      </c>
      <c r="D14" s="3">
        <v>155.9</v>
      </c>
      <c r="E14" s="23"/>
      <c r="F14" s="38">
        <v>2.7E-2</v>
      </c>
      <c r="G14" s="38">
        <v>2.7E-2</v>
      </c>
      <c r="H14" s="3"/>
      <c r="I14" s="3"/>
      <c r="J14" s="39">
        <v>0</v>
      </c>
      <c r="K14" s="39">
        <v>0</v>
      </c>
      <c r="L14" s="22">
        <v>0</v>
      </c>
      <c r="M14" s="40"/>
    </row>
    <row r="15" spans="1:13" ht="36" x14ac:dyDescent="0.25">
      <c r="A15" s="69">
        <v>3</v>
      </c>
      <c r="B15" s="28" t="s">
        <v>17</v>
      </c>
      <c r="C15" s="3">
        <v>34.159999999999997</v>
      </c>
      <c r="D15" s="3">
        <v>46.54</v>
      </c>
      <c r="E15" s="72" t="s">
        <v>9</v>
      </c>
      <c r="F15" s="80">
        <v>7.319</v>
      </c>
      <c r="G15" s="80">
        <v>7.319</v>
      </c>
      <c r="H15" s="3" t="s">
        <v>10</v>
      </c>
      <c r="I15" s="3">
        <f>G15-F15</f>
        <v>0</v>
      </c>
      <c r="J15" s="39">
        <v>0</v>
      </c>
      <c r="K15" s="39">
        <v>0</v>
      </c>
      <c r="L15" s="76">
        <f>(K15+K16)/(J15+J16)*100</f>
        <v>136.24121779859485</v>
      </c>
      <c r="M15" s="40">
        <f t="shared" si="0"/>
        <v>100</v>
      </c>
    </row>
    <row r="16" spans="1:13" ht="18" x14ac:dyDescent="0.25">
      <c r="A16" s="71"/>
      <c r="B16" s="28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>
        <f>C16*2510/12</f>
        <v>7145.1333333333323</v>
      </c>
      <c r="K16" s="39">
        <f>D16*2510/12</f>
        <v>9734.6166666666668</v>
      </c>
      <c r="L16" s="77"/>
      <c r="M16" s="40"/>
    </row>
    <row r="17" spans="1:13" ht="36" x14ac:dyDescent="0.25">
      <c r="A17" s="69">
        <v>4</v>
      </c>
      <c r="B17" s="28" t="s">
        <v>19</v>
      </c>
      <c r="C17" s="3">
        <v>1347.49</v>
      </c>
      <c r="D17" s="3">
        <v>1517.3</v>
      </c>
      <c r="E17" s="72" t="s">
        <v>20</v>
      </c>
      <c r="F17" s="92">
        <v>3.2000000000000001E-2</v>
      </c>
      <c r="G17" s="92">
        <v>3.2000000000000001E-2</v>
      </c>
      <c r="H17" s="3" t="s">
        <v>21</v>
      </c>
      <c r="I17" s="3">
        <f>G17-F17</f>
        <v>0</v>
      </c>
      <c r="J17" s="39">
        <f>C17*794.5*F17</f>
        <v>34258.585760000002</v>
      </c>
      <c r="K17" s="39">
        <f>D17*794.5*G17</f>
        <v>38575.835199999994</v>
      </c>
      <c r="L17" s="76">
        <f>(K17+K18)/(J17+J18)*100</f>
        <v>112.60194880852545</v>
      </c>
      <c r="M17" s="42">
        <f t="shared" si="0"/>
        <v>100</v>
      </c>
    </row>
    <row r="18" spans="1:13" ht="18" x14ac:dyDescent="0.25">
      <c r="A18" s="71"/>
      <c r="B18" s="28" t="s">
        <v>22</v>
      </c>
      <c r="C18" s="3">
        <v>1347.49</v>
      </c>
      <c r="D18" s="3">
        <v>1517.3</v>
      </c>
      <c r="E18" s="73"/>
      <c r="F18" s="93"/>
      <c r="G18" s="93"/>
      <c r="H18" s="3" t="s">
        <v>36</v>
      </c>
      <c r="I18" s="3">
        <v>0</v>
      </c>
      <c r="J18" s="39">
        <v>0</v>
      </c>
      <c r="K18" s="39">
        <v>0</v>
      </c>
      <c r="L18" s="77"/>
      <c r="M18" s="40"/>
    </row>
    <row r="19" spans="1:13" ht="36" x14ac:dyDescent="0.25">
      <c r="A19" s="69">
        <v>5</v>
      </c>
      <c r="B19" s="28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108.47953216374269</v>
      </c>
      <c r="M19" s="40">
        <f t="shared" si="0"/>
        <v>100</v>
      </c>
    </row>
    <row r="20" spans="1:13" ht="36" x14ac:dyDescent="0.25">
      <c r="A20" s="70"/>
      <c r="B20" s="28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C20*7776</f>
        <v>13296.96</v>
      </c>
      <c r="K20" s="39">
        <f>D20*7776</f>
        <v>14424.48</v>
      </c>
      <c r="L20" s="77"/>
      <c r="M20" s="40"/>
    </row>
    <row r="21" spans="1:13" ht="18" x14ac:dyDescent="0.25">
      <c r="A21" s="71"/>
      <c r="B21" s="28" t="s">
        <v>41</v>
      </c>
      <c r="C21" s="3">
        <v>1.71</v>
      </c>
      <c r="D21" s="64">
        <v>1.855</v>
      </c>
      <c r="E21" s="23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0"/>
    </row>
    <row r="22" spans="1:13" ht="36" x14ac:dyDescent="0.25">
      <c r="A22" s="69">
        <v>6</v>
      </c>
      <c r="B22" s="28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0"/>
    </row>
    <row r="23" spans="1:13" ht="31.2" x14ac:dyDescent="0.25">
      <c r="A23" s="71"/>
      <c r="B23" s="28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0"/>
    </row>
    <row r="24" spans="1:13" ht="15.6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J10+J11+J13+J14+J16+J17+J20</f>
        <v>71156.142426666658</v>
      </c>
      <c r="K24" s="47">
        <f>K10+K11+K13+K14+K16+K17+K20</f>
        <v>83181.73603333332</v>
      </c>
      <c r="L24" s="25">
        <f>K24/J24*100</f>
        <v>116.90028885287059</v>
      </c>
      <c r="M24" s="40"/>
    </row>
    <row r="26" spans="1:13" ht="31.2" x14ac:dyDescent="0.25">
      <c r="B26" s="7" t="s">
        <v>32</v>
      </c>
      <c r="C26" s="8">
        <v>72</v>
      </c>
    </row>
    <row r="27" spans="1:13" ht="15.6" x14ac:dyDescent="0.25">
      <c r="B27" s="7" t="s">
        <v>33</v>
      </c>
      <c r="C27" s="8">
        <v>794.5</v>
      </c>
    </row>
    <row r="28" spans="1:13" ht="46.8" x14ac:dyDescent="0.25">
      <c r="B28" s="7" t="s">
        <v>80</v>
      </c>
      <c r="C28" s="26">
        <f>J24</f>
        <v>71156.142426666658</v>
      </c>
      <c r="G28" s="1" t="s">
        <v>46</v>
      </c>
    </row>
    <row r="29" spans="1:13" ht="46.8" x14ac:dyDescent="0.25">
      <c r="B29" s="7" t="s">
        <v>79</v>
      </c>
      <c r="C29" s="26">
        <f>K24</f>
        <v>83181.73603333332</v>
      </c>
    </row>
    <row r="30" spans="1:13" ht="15.6" x14ac:dyDescent="0.25">
      <c r="B30" s="9"/>
      <c r="C30" s="32"/>
    </row>
    <row r="31" spans="1:13" ht="15.6" x14ac:dyDescent="0.25">
      <c r="B31" s="9"/>
      <c r="C31" s="10"/>
    </row>
    <row r="32" spans="1:13" ht="76.5" hidden="1" customHeight="1" x14ac:dyDescent="0.35">
      <c r="B32" s="68" t="s">
        <v>59</v>
      </c>
      <c r="C32" s="11"/>
      <c r="D32" s="12"/>
      <c r="E32" s="11"/>
      <c r="F32" s="12"/>
      <c r="G32" s="11"/>
      <c r="H32" s="12"/>
    </row>
    <row r="33" spans="1:12" ht="22.8" hidden="1" x14ac:dyDescent="0.4">
      <c r="B33" s="68"/>
      <c r="C33" s="12"/>
      <c r="D33" s="54" t="s">
        <v>60</v>
      </c>
      <c r="E33" s="55"/>
      <c r="F33" s="11"/>
      <c r="G33" s="56" t="s">
        <v>61</v>
      </c>
      <c r="H33" s="11"/>
    </row>
    <row r="34" spans="1:12" ht="18" hidden="1" x14ac:dyDescent="0.35">
      <c r="B34" s="12"/>
      <c r="C34" s="12"/>
      <c r="D34" s="57" t="s">
        <v>34</v>
      </c>
      <c r="E34" s="58"/>
      <c r="F34" s="15"/>
      <c r="G34" s="15" t="s">
        <v>62</v>
      </c>
      <c r="H34" s="15"/>
    </row>
    <row r="35" spans="1:12" ht="18" hidden="1" x14ac:dyDescent="0.35">
      <c r="B35" s="18"/>
      <c r="C35" s="12"/>
      <c r="D35" s="12"/>
      <c r="E35" s="14"/>
      <c r="F35" s="12"/>
      <c r="G35" s="12"/>
      <c r="H35" s="12"/>
    </row>
    <row r="36" spans="1:12" ht="18" hidden="1" x14ac:dyDescent="0.35">
      <c r="B36" s="15"/>
      <c r="C36" s="12"/>
      <c r="D36" s="12"/>
      <c r="E36" s="14"/>
      <c r="F36" s="12"/>
      <c r="G36" s="12"/>
      <c r="H36" s="12"/>
    </row>
    <row r="37" spans="1:12" ht="22.8" hidden="1" x14ac:dyDescent="0.4">
      <c r="A37" s="16"/>
      <c r="B37" s="18" t="s">
        <v>58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idden="1" x14ac:dyDescent="0.25">
      <c r="B38" s="15" t="s">
        <v>50</v>
      </c>
    </row>
  </sheetData>
  <mergeCells count="36">
    <mergeCell ref="B4:K4"/>
    <mergeCell ref="B5:K5"/>
    <mergeCell ref="B6:K6"/>
    <mergeCell ref="A9:A11"/>
    <mergeCell ref="E9:E11"/>
    <mergeCell ref="F9:F10"/>
    <mergeCell ref="G9:G10"/>
    <mergeCell ref="L9:L10"/>
    <mergeCell ref="A12:A14"/>
    <mergeCell ref="E12:E13"/>
    <mergeCell ref="F12:F13"/>
    <mergeCell ref="G12:G13"/>
    <mergeCell ref="L12:L13"/>
    <mergeCell ref="G15:G16"/>
    <mergeCell ref="L15:L16"/>
    <mergeCell ref="A17:A18"/>
    <mergeCell ref="E17:E18"/>
    <mergeCell ref="F17:F18"/>
    <mergeCell ref="G17:G18"/>
    <mergeCell ref="L17:L18"/>
    <mergeCell ref="L1:M1"/>
    <mergeCell ref="B32:B33"/>
    <mergeCell ref="A24:B24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</mergeCells>
  <pageMargins left="0.78740157480314965" right="0.39370078740157483" top="1.3779527559055118" bottom="0.78740157480314965" header="0.31496062992125984" footer="0.31496062992125984"/>
  <pageSetup paperSize="9" scale="52" orientation="landscape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="60" zoomScaleNormal="100" workbookViewId="0">
      <selection activeCell="B6" sqref="B6:K6"/>
    </sheetView>
  </sheetViews>
  <sheetFormatPr defaultRowHeight="13.2" x14ac:dyDescent="0.25"/>
  <cols>
    <col min="1" max="1" width="9.109375" style="1"/>
    <col min="2" max="2" width="52.33203125" style="1" customWidth="1"/>
    <col min="3" max="3" width="17.88671875" style="1" customWidth="1"/>
    <col min="4" max="6" width="16.44140625" style="1" customWidth="1"/>
    <col min="7" max="7" width="18.5546875" style="1" customWidth="1"/>
    <col min="8" max="9" width="15.44140625" style="1" customWidth="1"/>
    <col min="10" max="10" width="22.6640625" style="1" customWidth="1"/>
    <col min="11" max="11" width="25.5546875" style="1" customWidth="1"/>
    <col min="12" max="12" width="19.6640625" style="1" customWidth="1"/>
    <col min="13" max="13" width="12.8867187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15.6" x14ac:dyDescent="0.3">
      <c r="L1" s="90" t="s">
        <v>86</v>
      </c>
      <c r="M1" s="90"/>
    </row>
    <row r="2" spans="1:13" ht="15.6" x14ac:dyDescent="0.3">
      <c r="L2" s="18" t="s">
        <v>81</v>
      </c>
      <c r="M2" s="18"/>
    </row>
    <row r="3" spans="1:13" ht="15.6" x14ac:dyDescent="0.3">
      <c r="L3" s="18" t="s">
        <v>82</v>
      </c>
      <c r="M3" s="18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399999999999999" x14ac:dyDescent="0.25">
      <c r="B5" s="85" t="s">
        <v>74</v>
      </c>
      <c r="C5" s="85"/>
      <c r="D5" s="85"/>
      <c r="E5" s="85"/>
      <c r="F5" s="85"/>
      <c r="G5" s="85"/>
      <c r="H5" s="85"/>
      <c r="I5" s="85"/>
      <c r="J5" s="85"/>
      <c r="K5" s="85"/>
    </row>
    <row r="6" spans="1:13" ht="18.75" customHeight="1" x14ac:dyDescent="0.25">
      <c r="B6" s="86" t="s">
        <v>49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38" x14ac:dyDescent="0.25">
      <c r="A7" s="19" t="s">
        <v>1</v>
      </c>
      <c r="B7" s="19" t="s">
        <v>2</v>
      </c>
      <c r="C7" s="19" t="s">
        <v>66</v>
      </c>
      <c r="D7" s="19" t="s">
        <v>67</v>
      </c>
      <c r="E7" s="19" t="s">
        <v>3</v>
      </c>
      <c r="F7" s="19" t="s">
        <v>68</v>
      </c>
      <c r="G7" s="19" t="s">
        <v>69</v>
      </c>
      <c r="H7" s="19" t="s">
        <v>4</v>
      </c>
      <c r="I7" s="19" t="s">
        <v>5</v>
      </c>
      <c r="J7" s="19" t="s">
        <v>70</v>
      </c>
      <c r="K7" s="19" t="s">
        <v>71</v>
      </c>
      <c r="L7" s="19" t="s">
        <v>76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>
        <v>11</v>
      </c>
    </row>
    <row r="9" spans="1:13" ht="36" x14ac:dyDescent="0.25">
      <c r="A9" s="69">
        <v>1</v>
      </c>
      <c r="B9" s="28" t="s">
        <v>8</v>
      </c>
      <c r="C9" s="3">
        <v>34.04</v>
      </c>
      <c r="D9" s="3">
        <v>46.81</v>
      </c>
      <c r="E9" s="72" t="s">
        <v>9</v>
      </c>
      <c r="F9" s="80">
        <v>3.9009999999999998</v>
      </c>
      <c r="G9" s="80">
        <v>3.9009999999999998</v>
      </c>
      <c r="H9" s="3" t="s">
        <v>10</v>
      </c>
      <c r="I9" s="3">
        <f>G9-F9</f>
        <v>0</v>
      </c>
      <c r="J9" s="4">
        <f>C9*F9*0</f>
        <v>0</v>
      </c>
      <c r="K9" s="4">
        <f>D9*G9*0</f>
        <v>0</v>
      </c>
      <c r="L9" s="76">
        <f>(K9+K10)/(J9+J10)*100</f>
        <v>137.5146886016451</v>
      </c>
      <c r="M9" s="40">
        <f>G9/F9*100</f>
        <v>100</v>
      </c>
    </row>
    <row r="10" spans="1:13" ht="36" x14ac:dyDescent="0.25">
      <c r="A10" s="70"/>
      <c r="B10" s="28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f>C10*294764/12</f>
        <v>836147.21333333338</v>
      </c>
      <c r="K10" s="39">
        <f>D10*294764/12</f>
        <v>1149825.2366666666</v>
      </c>
      <c r="L10" s="77"/>
      <c r="M10" s="40"/>
    </row>
    <row r="11" spans="1:13" ht="18" x14ac:dyDescent="0.25">
      <c r="A11" s="71"/>
      <c r="B11" s="28" t="s">
        <v>39</v>
      </c>
      <c r="C11" s="3">
        <v>34.04</v>
      </c>
      <c r="D11" s="3">
        <v>46.81</v>
      </c>
      <c r="E11" s="73"/>
      <c r="F11" s="20">
        <v>2.7E-2</v>
      </c>
      <c r="G11" s="20">
        <v>2.7E-2</v>
      </c>
      <c r="H11" s="3"/>
      <c r="I11" s="3">
        <f>G11-F11</f>
        <v>0</v>
      </c>
      <c r="J11" s="39">
        <v>0</v>
      </c>
      <c r="K11" s="39">
        <v>0</v>
      </c>
      <c r="L11" s="24"/>
      <c r="M11" s="40">
        <f t="shared" ref="M11:M19" si="0">G11/F11*100</f>
        <v>100</v>
      </c>
    </row>
    <row r="12" spans="1:13" ht="36" x14ac:dyDescent="0.25">
      <c r="A12" s="69">
        <v>2</v>
      </c>
      <c r="B12" s="28" t="s">
        <v>15</v>
      </c>
      <c r="C12" s="3">
        <v>129.56</v>
      </c>
      <c r="D12" s="3">
        <v>155.9</v>
      </c>
      <c r="E12" s="72" t="s">
        <v>9</v>
      </c>
      <c r="F12" s="83">
        <v>3.4180000000000001</v>
      </c>
      <c r="G12" s="83">
        <v>3.4180000000000001</v>
      </c>
      <c r="H12" s="3" t="s">
        <v>10</v>
      </c>
      <c r="I12" s="3">
        <f>G12-F12</f>
        <v>0</v>
      </c>
      <c r="J12" s="39">
        <v>0</v>
      </c>
      <c r="K12" s="39">
        <v>0</v>
      </c>
      <c r="L12" s="76">
        <f>(K12+K13)/(J12+J13)*100</f>
        <v>120.33034887310899</v>
      </c>
      <c r="M12" s="40">
        <f t="shared" si="0"/>
        <v>100</v>
      </c>
    </row>
    <row r="13" spans="1:13" ht="36" x14ac:dyDescent="0.25">
      <c r="A13" s="70"/>
      <c r="B13" s="28" t="s">
        <v>16</v>
      </c>
      <c r="C13" s="3">
        <v>129.56</v>
      </c>
      <c r="D13" s="3">
        <v>155.9</v>
      </c>
      <c r="E13" s="73"/>
      <c r="F13" s="84"/>
      <c r="G13" s="84"/>
      <c r="H13" s="3" t="s">
        <v>35</v>
      </c>
      <c r="I13" s="3">
        <v>0</v>
      </c>
      <c r="J13" s="39">
        <f>C13*187051/12</f>
        <v>2019527.2966666666</v>
      </c>
      <c r="K13" s="39">
        <f>D13*187051/12</f>
        <v>2430104.2416666667</v>
      </c>
      <c r="L13" s="77"/>
      <c r="M13" s="40"/>
    </row>
    <row r="14" spans="1:13" ht="18" x14ac:dyDescent="0.25">
      <c r="A14" s="71"/>
      <c r="B14" s="28" t="s">
        <v>40</v>
      </c>
      <c r="C14" s="3">
        <v>129.56</v>
      </c>
      <c r="D14" s="3">
        <v>155.9</v>
      </c>
      <c r="E14" s="27"/>
      <c r="F14" s="38">
        <v>2.7E-2</v>
      </c>
      <c r="G14" s="38">
        <v>2.7E-2</v>
      </c>
      <c r="H14" s="3"/>
      <c r="I14" s="3"/>
      <c r="J14" s="39">
        <v>0</v>
      </c>
      <c r="K14" s="39">
        <v>0</v>
      </c>
      <c r="L14" s="31"/>
      <c r="M14" s="40">
        <f t="shared" si="0"/>
        <v>100</v>
      </c>
    </row>
    <row r="15" spans="1:13" ht="36" x14ac:dyDescent="0.25">
      <c r="A15" s="69">
        <v>3</v>
      </c>
      <c r="B15" s="28" t="s">
        <v>17</v>
      </c>
      <c r="C15" s="3">
        <v>34.159999999999997</v>
      </c>
      <c r="D15" s="3">
        <v>46.54</v>
      </c>
      <c r="E15" s="72" t="s">
        <v>9</v>
      </c>
      <c r="F15" s="80">
        <v>7.319</v>
      </c>
      <c r="G15" s="80">
        <v>7.319</v>
      </c>
      <c r="H15" s="3" t="s">
        <v>10</v>
      </c>
      <c r="I15" s="3">
        <f>G15-F15</f>
        <v>0</v>
      </c>
      <c r="J15" s="39">
        <v>0</v>
      </c>
      <c r="K15" s="39">
        <v>0</v>
      </c>
      <c r="L15" s="76">
        <f>(K15+K16)/(J15+J16)*100</f>
        <v>136.24121779859485</v>
      </c>
      <c r="M15" s="40">
        <f t="shared" si="0"/>
        <v>100</v>
      </c>
    </row>
    <row r="16" spans="1:13" ht="18" x14ac:dyDescent="0.25">
      <c r="A16" s="71"/>
      <c r="B16" s="28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>
        <f>C16*440573/12</f>
        <v>1254164.4733333332</v>
      </c>
      <c r="K16" s="39">
        <f>D16*440573/12</f>
        <v>1708688.9516666664</v>
      </c>
      <c r="L16" s="77"/>
      <c r="M16" s="40"/>
    </row>
    <row r="17" spans="1:13" ht="36" x14ac:dyDescent="0.25">
      <c r="A17" s="69">
        <v>4</v>
      </c>
      <c r="B17" s="28" t="s">
        <v>19</v>
      </c>
      <c r="C17" s="3">
        <v>1347.49</v>
      </c>
      <c r="D17" s="3">
        <v>1517.3</v>
      </c>
      <c r="E17" s="72" t="s">
        <v>20</v>
      </c>
      <c r="F17" s="80">
        <v>3.3399999999999999E-2</v>
      </c>
      <c r="G17" s="80">
        <v>3.3399999999999999E-2</v>
      </c>
      <c r="H17" s="3" t="s">
        <v>21</v>
      </c>
      <c r="I17" s="3">
        <f>G17-F17</f>
        <v>0</v>
      </c>
      <c r="J17" s="39">
        <v>0</v>
      </c>
      <c r="K17" s="39">
        <v>0</v>
      </c>
      <c r="L17" s="76">
        <f>(K17+K18)/(J17+J18)*100</f>
        <v>112.60194880852548</v>
      </c>
      <c r="M17" s="40">
        <f t="shared" si="0"/>
        <v>100</v>
      </c>
    </row>
    <row r="18" spans="1:13" ht="18" x14ac:dyDescent="0.25">
      <c r="A18" s="71"/>
      <c r="B18" s="28" t="s">
        <v>22</v>
      </c>
      <c r="C18" s="3">
        <v>1347.49</v>
      </c>
      <c r="D18" s="3">
        <v>1517.3</v>
      </c>
      <c r="E18" s="73"/>
      <c r="F18" s="81"/>
      <c r="G18" s="81"/>
      <c r="H18" s="3" t="s">
        <v>36</v>
      </c>
      <c r="I18" s="3">
        <v>0</v>
      </c>
      <c r="J18" s="39">
        <f>C18*69695/9</f>
        <v>10434812.838888889</v>
      </c>
      <c r="K18" s="39">
        <f>D18*69695/9</f>
        <v>11749802.611111112</v>
      </c>
      <c r="L18" s="77"/>
      <c r="M18" s="40"/>
    </row>
    <row r="19" spans="1:13" ht="36" x14ac:dyDescent="0.25">
      <c r="A19" s="69">
        <v>5</v>
      </c>
      <c r="B19" s="28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108.47953216374269</v>
      </c>
      <c r="M19" s="40">
        <f t="shared" si="0"/>
        <v>100</v>
      </c>
    </row>
    <row r="20" spans="1:13" ht="36" x14ac:dyDescent="0.25">
      <c r="A20" s="70"/>
      <c r="B20" s="28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2299820.04</v>
      </c>
      <c r="K20" s="39">
        <f>D20*G19*C26</f>
        <v>2494834.02</v>
      </c>
      <c r="L20" s="77"/>
      <c r="M20" s="40"/>
    </row>
    <row r="21" spans="1:13" ht="18" x14ac:dyDescent="0.25">
      <c r="A21" s="71"/>
      <c r="B21" s="28" t="s">
        <v>41</v>
      </c>
      <c r="C21" s="3">
        <v>1.71</v>
      </c>
      <c r="D21" s="64">
        <v>1.855</v>
      </c>
      <c r="E21" s="27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0"/>
    </row>
    <row r="22" spans="1:13" ht="36" x14ac:dyDescent="0.25">
      <c r="A22" s="69">
        <v>6</v>
      </c>
      <c r="B22" s="28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0"/>
    </row>
    <row r="23" spans="1:13" ht="31.2" x14ac:dyDescent="0.25">
      <c r="A23" s="71"/>
      <c r="B23" s="28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0"/>
    </row>
    <row r="24" spans="1:13" ht="15.6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J10+J13+J16+J18+J20</f>
        <v>16844471.862222221</v>
      </c>
      <c r="K24" s="47">
        <f>K10+K13+K16+K18+K20</f>
        <v>19533255.061111111</v>
      </c>
      <c r="L24" s="47">
        <f>K24/J24*100</f>
        <v>115.9624072567044</v>
      </c>
      <c r="M24" s="40"/>
    </row>
    <row r="26" spans="1:13" ht="31.2" x14ac:dyDescent="0.25">
      <c r="B26" s="7" t="s">
        <v>32</v>
      </c>
      <c r="C26" s="8">
        <v>12453</v>
      </c>
    </row>
    <row r="27" spans="1:13" ht="15.6" x14ac:dyDescent="0.25">
      <c r="B27" s="7" t="s">
        <v>33</v>
      </c>
      <c r="C27" s="8">
        <v>221625.1</v>
      </c>
    </row>
    <row r="28" spans="1:13" ht="46.8" x14ac:dyDescent="0.25">
      <c r="B28" s="7" t="s">
        <v>80</v>
      </c>
      <c r="C28" s="26">
        <f>J24</f>
        <v>16844471.862222221</v>
      </c>
    </row>
    <row r="29" spans="1:13" ht="46.8" x14ac:dyDescent="0.25">
      <c r="B29" s="7" t="s">
        <v>79</v>
      </c>
      <c r="C29" s="26">
        <f>K24</f>
        <v>19533255.061111111</v>
      </c>
    </row>
    <row r="30" spans="1:13" ht="15.6" x14ac:dyDescent="0.25">
      <c r="B30" s="9"/>
      <c r="C30" s="32"/>
    </row>
    <row r="31" spans="1:13" ht="15.6" x14ac:dyDescent="0.25">
      <c r="B31" s="9"/>
      <c r="C31" s="10"/>
    </row>
    <row r="32" spans="1:13" ht="18" hidden="1" x14ac:dyDescent="0.35">
      <c r="B32" s="59" t="s">
        <v>59</v>
      </c>
      <c r="C32" s="11"/>
      <c r="D32" s="12"/>
      <c r="E32" s="13"/>
      <c r="F32" s="12"/>
      <c r="G32" s="13" t="s">
        <v>61</v>
      </c>
      <c r="H32" s="12"/>
    </row>
    <row r="33" spans="1:12" ht="18" hidden="1" x14ac:dyDescent="0.35">
      <c r="B33" s="12"/>
      <c r="C33" s="12"/>
      <c r="D33" s="12"/>
      <c r="E33" s="14" t="s">
        <v>34</v>
      </c>
      <c r="F33" s="12"/>
      <c r="G33" s="12" t="s">
        <v>62</v>
      </c>
      <c r="H33" s="12"/>
    </row>
    <row r="34" spans="1:12" ht="18" hidden="1" x14ac:dyDescent="0.35">
      <c r="B34" s="12"/>
      <c r="C34" s="12"/>
      <c r="D34" s="12"/>
      <c r="E34" s="14"/>
      <c r="F34" s="12"/>
      <c r="G34" s="12"/>
      <c r="H34" s="12"/>
    </row>
    <row r="35" spans="1:12" ht="18" hidden="1" x14ac:dyDescent="0.35">
      <c r="B35" s="15" t="s">
        <v>58</v>
      </c>
      <c r="C35" s="12"/>
      <c r="D35" s="12"/>
      <c r="E35" s="14"/>
      <c r="F35" s="12"/>
      <c r="G35" s="12"/>
      <c r="H35" s="12"/>
    </row>
    <row r="36" spans="1:12" ht="12" hidden="1" customHeight="1" x14ac:dyDescent="0.35">
      <c r="B36" s="15" t="s">
        <v>50</v>
      </c>
      <c r="C36" s="12"/>
      <c r="D36" s="12"/>
      <c r="E36" s="14"/>
      <c r="F36" s="12"/>
      <c r="G36" s="12"/>
      <c r="H36" s="12"/>
    </row>
    <row r="37" spans="1:12" ht="22.8" hidden="1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35">
    <mergeCell ref="B4:K4"/>
    <mergeCell ref="B5:K5"/>
    <mergeCell ref="B6:K6"/>
    <mergeCell ref="A9:A11"/>
    <mergeCell ref="E9:E11"/>
    <mergeCell ref="F9:F10"/>
    <mergeCell ref="G9:G10"/>
    <mergeCell ref="L9:L10"/>
    <mergeCell ref="A12:A14"/>
    <mergeCell ref="E12:E13"/>
    <mergeCell ref="F12:F13"/>
    <mergeCell ref="G12:G13"/>
    <mergeCell ref="L12:L13"/>
    <mergeCell ref="L15:L16"/>
    <mergeCell ref="A17:A18"/>
    <mergeCell ref="E17:E18"/>
    <mergeCell ref="F17:F18"/>
    <mergeCell ref="G17:G18"/>
    <mergeCell ref="L17:L18"/>
    <mergeCell ref="L1:M1"/>
    <mergeCell ref="A24:B24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  <mergeCell ref="G15:G16"/>
  </mergeCells>
  <pageMargins left="0.78740157480314965" right="0.39370078740157483" top="1.3779527559055118" bottom="0.78740157480314965" header="0.31496062992125984" footer="0.31496062992125984"/>
  <pageSetup paperSize="9" scale="51" orientation="landscape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16" zoomScale="60" zoomScaleNormal="40" workbookViewId="0">
      <selection activeCell="F28" sqref="F28"/>
    </sheetView>
  </sheetViews>
  <sheetFormatPr defaultRowHeight="13.2" x14ac:dyDescent="0.25"/>
  <cols>
    <col min="1" max="1" width="9.109375" style="1"/>
    <col min="2" max="2" width="52.33203125" style="1" customWidth="1"/>
    <col min="3" max="3" width="17.88671875" style="1" customWidth="1"/>
    <col min="4" max="6" width="16.44140625" style="1" customWidth="1"/>
    <col min="7" max="7" width="18.5546875" style="1" customWidth="1"/>
    <col min="8" max="9" width="15.44140625" style="1" customWidth="1"/>
    <col min="10" max="10" width="22.6640625" style="1" customWidth="1"/>
    <col min="11" max="11" width="25.5546875" style="1" customWidth="1"/>
    <col min="12" max="12" width="18.6640625" style="1" customWidth="1"/>
    <col min="13" max="13" width="13.4414062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15.6" x14ac:dyDescent="0.3">
      <c r="L1" s="90" t="s">
        <v>87</v>
      </c>
      <c r="M1" s="90"/>
    </row>
    <row r="2" spans="1:13" ht="15.6" x14ac:dyDescent="0.3">
      <c r="L2" s="65" t="s">
        <v>81</v>
      </c>
      <c r="M2" s="18"/>
    </row>
    <row r="3" spans="1:13" ht="15.6" x14ac:dyDescent="0.3">
      <c r="L3" s="18" t="s">
        <v>82</v>
      </c>
      <c r="M3" s="18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25" customHeight="1" x14ac:dyDescent="0.25">
      <c r="B5" s="85" t="s">
        <v>74</v>
      </c>
      <c r="C5" s="85"/>
      <c r="D5" s="85"/>
      <c r="E5" s="85"/>
      <c r="F5" s="85"/>
      <c r="G5" s="85"/>
      <c r="H5" s="85"/>
      <c r="I5" s="85"/>
      <c r="J5" s="85"/>
      <c r="K5" s="85"/>
    </row>
    <row r="6" spans="1:13" ht="18.75" customHeight="1" x14ac:dyDescent="0.25">
      <c r="B6" s="86" t="s">
        <v>51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38" x14ac:dyDescent="0.25">
      <c r="A7" s="19" t="s">
        <v>1</v>
      </c>
      <c r="B7" s="19" t="s">
        <v>2</v>
      </c>
      <c r="C7" s="19" t="s">
        <v>66</v>
      </c>
      <c r="D7" s="19" t="s">
        <v>67</v>
      </c>
      <c r="E7" s="19" t="s">
        <v>3</v>
      </c>
      <c r="F7" s="19" t="s">
        <v>68</v>
      </c>
      <c r="G7" s="19" t="s">
        <v>69</v>
      </c>
      <c r="H7" s="19" t="s">
        <v>4</v>
      </c>
      <c r="I7" s="19" t="s">
        <v>5</v>
      </c>
      <c r="J7" s="19" t="s">
        <v>70</v>
      </c>
      <c r="K7" s="19" t="s">
        <v>71</v>
      </c>
      <c r="L7" s="19" t="s">
        <v>76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>
        <v>11</v>
      </c>
    </row>
    <row r="9" spans="1:13" ht="36" x14ac:dyDescent="0.25">
      <c r="A9" s="69">
        <v>1</v>
      </c>
      <c r="B9" s="28" t="s">
        <v>8</v>
      </c>
      <c r="C9" s="3">
        <v>34.04</v>
      </c>
      <c r="D9" s="3">
        <v>46.81</v>
      </c>
      <c r="E9" s="72" t="s">
        <v>9</v>
      </c>
      <c r="F9" s="80">
        <v>3.9009999999999998</v>
      </c>
      <c r="G9" s="80">
        <v>3.9009999999999998</v>
      </c>
      <c r="H9" s="3" t="s">
        <v>10</v>
      </c>
      <c r="I9" s="3">
        <f>G9-F9</f>
        <v>0</v>
      </c>
      <c r="J9" s="4">
        <f>C9*F9*0</f>
        <v>0</v>
      </c>
      <c r="K9" s="4">
        <f>D9*G9*0</f>
        <v>0</v>
      </c>
      <c r="L9" s="76">
        <f>(K9+K10)/(J9+J10)*100</f>
        <v>137.51468860164513</v>
      </c>
      <c r="M9" s="40">
        <f>G9/F9*100</f>
        <v>100</v>
      </c>
    </row>
    <row r="10" spans="1:13" ht="36" x14ac:dyDescent="0.25">
      <c r="A10" s="70"/>
      <c r="B10" s="28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f>C10*71837.66/12</f>
        <v>203779.49553333336</v>
      </c>
      <c r="K10" s="39">
        <f>D10*71837.66/12</f>
        <v>280226.7387166667</v>
      </c>
      <c r="L10" s="77"/>
      <c r="M10" s="40"/>
    </row>
    <row r="11" spans="1:13" ht="18" x14ac:dyDescent="0.25">
      <c r="A11" s="71"/>
      <c r="B11" s="28" t="s">
        <v>39</v>
      </c>
      <c r="C11" s="3">
        <v>34.04</v>
      </c>
      <c r="D11" s="3">
        <v>46.81</v>
      </c>
      <c r="E11" s="73"/>
      <c r="F11" s="20">
        <v>2.7E-2</v>
      </c>
      <c r="G11" s="20">
        <v>2.7E-2</v>
      </c>
      <c r="H11" s="3"/>
      <c r="I11" s="3">
        <f>G11-F11</f>
        <v>0</v>
      </c>
      <c r="J11" s="39">
        <v>0</v>
      </c>
      <c r="K11" s="39">
        <v>0</v>
      </c>
      <c r="L11" s="24"/>
      <c r="M11" s="40">
        <f t="shared" ref="M11:M19" si="0">G11/F11*100</f>
        <v>100</v>
      </c>
    </row>
    <row r="12" spans="1:13" ht="36" x14ac:dyDescent="0.25">
      <c r="A12" s="69">
        <v>2</v>
      </c>
      <c r="B12" s="28" t="s">
        <v>15</v>
      </c>
      <c r="C12" s="3">
        <v>129.56</v>
      </c>
      <c r="D12" s="3">
        <v>155.9</v>
      </c>
      <c r="E12" s="72" t="s">
        <v>9</v>
      </c>
      <c r="F12" s="83">
        <v>3.4180000000000001</v>
      </c>
      <c r="G12" s="83">
        <v>3.4180000000000001</v>
      </c>
      <c r="H12" s="3" t="s">
        <v>10</v>
      </c>
      <c r="I12" s="3">
        <f>G12-F12</f>
        <v>0</v>
      </c>
      <c r="J12" s="39">
        <v>0</v>
      </c>
      <c r="K12" s="39">
        <v>0</v>
      </c>
      <c r="L12" s="76">
        <f>(K12+K13)/(J12+J13)*100</f>
        <v>120.330348873109</v>
      </c>
      <c r="M12" s="40">
        <f t="shared" si="0"/>
        <v>100</v>
      </c>
    </row>
    <row r="13" spans="1:13" ht="36" x14ac:dyDescent="0.25">
      <c r="A13" s="70"/>
      <c r="B13" s="28" t="s">
        <v>16</v>
      </c>
      <c r="C13" s="3">
        <v>129.56</v>
      </c>
      <c r="D13" s="3">
        <v>155.9</v>
      </c>
      <c r="E13" s="73"/>
      <c r="F13" s="84"/>
      <c r="G13" s="84"/>
      <c r="H13" s="3" t="s">
        <v>35</v>
      </c>
      <c r="I13" s="3">
        <v>0</v>
      </c>
      <c r="J13" s="39">
        <f>C13*45414.95/12</f>
        <v>490330.0768333333</v>
      </c>
      <c r="K13" s="39">
        <f>D13*45414.95/12</f>
        <v>590015.89208333334</v>
      </c>
      <c r="L13" s="77"/>
      <c r="M13" s="40"/>
    </row>
    <row r="14" spans="1:13" ht="18" x14ac:dyDescent="0.25">
      <c r="A14" s="71"/>
      <c r="B14" s="28" t="s">
        <v>40</v>
      </c>
      <c r="C14" s="3">
        <v>129.56</v>
      </c>
      <c r="D14" s="3">
        <v>155.9</v>
      </c>
      <c r="E14" s="33"/>
      <c r="F14" s="38">
        <v>2.7E-2</v>
      </c>
      <c r="G14" s="38">
        <v>2.7E-2</v>
      </c>
      <c r="H14" s="3"/>
      <c r="I14" s="3"/>
      <c r="J14" s="39">
        <v>0</v>
      </c>
      <c r="K14" s="39">
        <v>0</v>
      </c>
      <c r="L14" s="34"/>
      <c r="M14" s="40"/>
    </row>
    <row r="15" spans="1:13" ht="36" x14ac:dyDescent="0.25">
      <c r="A15" s="69">
        <v>3</v>
      </c>
      <c r="B15" s="28" t="s">
        <v>17</v>
      </c>
      <c r="C15" s="3">
        <v>34.159999999999997</v>
      </c>
      <c r="D15" s="3">
        <v>46.54</v>
      </c>
      <c r="E15" s="72" t="s">
        <v>9</v>
      </c>
      <c r="F15" s="80">
        <v>7.319</v>
      </c>
      <c r="G15" s="80">
        <v>7.319</v>
      </c>
      <c r="H15" s="3" t="s">
        <v>10</v>
      </c>
      <c r="I15" s="3">
        <f>G15-F15</f>
        <v>0</v>
      </c>
      <c r="J15" s="39">
        <v>0</v>
      </c>
      <c r="K15" s="39">
        <v>0</v>
      </c>
      <c r="L15" s="76">
        <f>(K15+K16)/(J15+J16)*100</f>
        <v>136.24121779859485</v>
      </c>
      <c r="M15" s="40">
        <f t="shared" si="0"/>
        <v>100</v>
      </c>
    </row>
    <row r="16" spans="1:13" ht="18" x14ac:dyDescent="0.25">
      <c r="A16" s="71"/>
      <c r="B16" s="28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>
        <f>C16*107856.31/12</f>
        <v>307030.96246666665</v>
      </c>
      <c r="K16" s="39">
        <f>D16*107856.31/12</f>
        <v>418302.72228333331</v>
      </c>
      <c r="L16" s="77"/>
      <c r="M16" s="40"/>
    </row>
    <row r="17" spans="1:13" ht="36" x14ac:dyDescent="0.25">
      <c r="A17" s="69">
        <v>4</v>
      </c>
      <c r="B17" s="28" t="s">
        <v>19</v>
      </c>
      <c r="C17" s="3">
        <v>1347.49</v>
      </c>
      <c r="D17" s="3">
        <v>1517.3</v>
      </c>
      <c r="E17" s="72" t="s">
        <v>20</v>
      </c>
      <c r="F17" s="83">
        <v>0.02</v>
      </c>
      <c r="G17" s="83">
        <v>0.02</v>
      </c>
      <c r="H17" s="3" t="s">
        <v>21</v>
      </c>
      <c r="I17" s="3">
        <f>G17-F17</f>
        <v>0</v>
      </c>
      <c r="J17" s="39">
        <f>C17*F17*1009.2</f>
        <v>27197.738160000001</v>
      </c>
      <c r="K17" s="39">
        <f>D17*G17*1009.2</f>
        <v>30625.183200000003</v>
      </c>
      <c r="L17" s="76">
        <f>(K17+K18)/(J17+J18)*100</f>
        <v>112.60194880852548</v>
      </c>
      <c r="M17" s="40">
        <f t="shared" si="0"/>
        <v>100</v>
      </c>
    </row>
    <row r="18" spans="1:13" ht="18" x14ac:dyDescent="0.25">
      <c r="A18" s="71"/>
      <c r="B18" s="28" t="s">
        <v>22</v>
      </c>
      <c r="C18" s="3">
        <v>1347.49</v>
      </c>
      <c r="D18" s="3">
        <v>1517.3</v>
      </c>
      <c r="E18" s="73"/>
      <c r="F18" s="84"/>
      <c r="G18" s="84"/>
      <c r="H18" s="3" t="s">
        <v>36</v>
      </c>
      <c r="I18" s="3">
        <v>0</v>
      </c>
      <c r="J18" s="39">
        <f>C18*10487/9</f>
        <v>1570125.2922222223</v>
      </c>
      <c r="K18" s="39">
        <f>D18*10487/9</f>
        <v>1767991.6777777777</v>
      </c>
      <c r="L18" s="77"/>
      <c r="M18" s="40"/>
    </row>
    <row r="19" spans="1:13" ht="36" x14ac:dyDescent="0.25">
      <c r="A19" s="69">
        <v>5</v>
      </c>
      <c r="B19" s="28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108.4795321637427</v>
      </c>
      <c r="M19" s="40">
        <f t="shared" si="0"/>
        <v>100</v>
      </c>
    </row>
    <row r="20" spans="1:13" ht="36" x14ac:dyDescent="0.25">
      <c r="A20" s="70"/>
      <c r="B20" s="28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577494.36</v>
      </c>
      <c r="K20" s="39">
        <f>D20*G19*C26</f>
        <v>626463.18000000005</v>
      </c>
      <c r="L20" s="77"/>
      <c r="M20" s="40"/>
    </row>
    <row r="21" spans="1:13" ht="18" x14ac:dyDescent="0.25">
      <c r="A21" s="71"/>
      <c r="B21" s="28" t="s">
        <v>41</v>
      </c>
      <c r="C21" s="3">
        <v>1.71</v>
      </c>
      <c r="D21" s="64">
        <v>1.855</v>
      </c>
      <c r="E21" s="33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0"/>
    </row>
    <row r="22" spans="1:13" ht="36" x14ac:dyDescent="0.25">
      <c r="A22" s="69">
        <v>6</v>
      </c>
      <c r="B22" s="28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0"/>
    </row>
    <row r="23" spans="1:13" ht="31.2" x14ac:dyDescent="0.25">
      <c r="A23" s="71"/>
      <c r="B23" s="28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0"/>
    </row>
    <row r="24" spans="1:13" ht="15.75" customHeight="1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J10+J13+J16+J17+J18+J20</f>
        <v>3175957.9252155554</v>
      </c>
      <c r="K24" s="47">
        <f>K10+K13+K16+K17+K18+K20</f>
        <v>3713625.3940611114</v>
      </c>
      <c r="L24" s="47">
        <f>K24/J24*100</f>
        <v>116.92930074975926</v>
      </c>
      <c r="M24" s="40"/>
    </row>
    <row r="26" spans="1:13" ht="31.2" x14ac:dyDescent="0.25">
      <c r="B26" s="7" t="s">
        <v>32</v>
      </c>
      <c r="C26" s="8">
        <v>3127</v>
      </c>
    </row>
    <row r="27" spans="1:13" ht="15.6" x14ac:dyDescent="0.25">
      <c r="B27" s="7" t="s">
        <v>33</v>
      </c>
      <c r="C27" s="8">
        <v>48607</v>
      </c>
    </row>
    <row r="28" spans="1:13" ht="46.8" x14ac:dyDescent="0.25">
      <c r="B28" s="7" t="s">
        <v>80</v>
      </c>
      <c r="C28" s="26">
        <f>J24</f>
        <v>3175957.9252155554</v>
      </c>
    </row>
    <row r="29" spans="1:13" ht="46.8" x14ac:dyDescent="0.25">
      <c r="B29" s="7" t="s">
        <v>79</v>
      </c>
      <c r="C29" s="26">
        <f>K24</f>
        <v>3713625.3940611114</v>
      </c>
    </row>
    <row r="30" spans="1:13" ht="15.6" x14ac:dyDescent="0.25">
      <c r="B30" s="9"/>
      <c r="C30" s="32"/>
    </row>
    <row r="31" spans="1:13" ht="15.6" x14ac:dyDescent="0.25">
      <c r="B31" s="9"/>
      <c r="C31" s="10"/>
    </row>
    <row r="32" spans="1:13" ht="18" hidden="1" x14ac:dyDescent="0.35">
      <c r="B32" s="59" t="s">
        <v>59</v>
      </c>
      <c r="C32" s="11"/>
      <c r="D32" s="12"/>
      <c r="E32" s="13"/>
      <c r="F32" s="12"/>
      <c r="G32" s="13" t="s">
        <v>61</v>
      </c>
      <c r="H32" s="12"/>
    </row>
    <row r="33" spans="1:12" ht="18" hidden="1" x14ac:dyDescent="0.35">
      <c r="B33" s="12"/>
      <c r="C33" s="12"/>
      <c r="D33" s="12"/>
      <c r="E33" s="14" t="s">
        <v>34</v>
      </c>
      <c r="F33" s="12"/>
      <c r="G33" s="12" t="s">
        <v>62</v>
      </c>
      <c r="H33" s="12"/>
    </row>
    <row r="34" spans="1:12" ht="18" hidden="1" x14ac:dyDescent="0.35">
      <c r="B34" s="12"/>
      <c r="C34" s="12"/>
      <c r="D34" s="12"/>
      <c r="E34" s="14"/>
      <c r="F34" s="12"/>
      <c r="G34" s="12"/>
      <c r="H34" s="12"/>
    </row>
    <row r="35" spans="1:12" ht="18" hidden="1" x14ac:dyDescent="0.35">
      <c r="B35" s="15" t="s">
        <v>58</v>
      </c>
      <c r="C35" s="12"/>
      <c r="D35" s="12"/>
      <c r="E35" s="14"/>
      <c r="F35" s="12"/>
      <c r="G35" s="12"/>
      <c r="H35" s="12"/>
    </row>
    <row r="36" spans="1:12" ht="12.75" hidden="1" customHeight="1" x14ac:dyDescent="0.35">
      <c r="B36" s="15" t="s">
        <v>50</v>
      </c>
      <c r="C36" s="12"/>
      <c r="D36" s="12"/>
      <c r="E36" s="14"/>
      <c r="F36" s="12"/>
      <c r="G36" s="12"/>
      <c r="H36" s="12"/>
    </row>
    <row r="37" spans="1:12" ht="27" customHeight="1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27" customHeight="1" x14ac:dyDescent="0.25"/>
    <row r="39" spans="1:12" ht="12.75" customHeight="1" x14ac:dyDescent="0.25"/>
    <row r="40" spans="1:12" ht="13.5" customHeight="1" x14ac:dyDescent="0.25"/>
  </sheetData>
  <mergeCells count="35">
    <mergeCell ref="B4:K4"/>
    <mergeCell ref="B5:K5"/>
    <mergeCell ref="B6:K6"/>
    <mergeCell ref="A9:A11"/>
    <mergeCell ref="E9:E11"/>
    <mergeCell ref="F9:F10"/>
    <mergeCell ref="G9:G10"/>
    <mergeCell ref="L9:L10"/>
    <mergeCell ref="A12:A14"/>
    <mergeCell ref="E12:E13"/>
    <mergeCell ref="F12:F13"/>
    <mergeCell ref="G12:G13"/>
    <mergeCell ref="L12:L13"/>
    <mergeCell ref="L15:L16"/>
    <mergeCell ref="A17:A18"/>
    <mergeCell ref="E17:E18"/>
    <mergeCell ref="F17:F18"/>
    <mergeCell ref="G17:G18"/>
    <mergeCell ref="L17:L18"/>
    <mergeCell ref="L1:M1"/>
    <mergeCell ref="A24:B24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  <mergeCell ref="G15:G16"/>
  </mergeCells>
  <pageMargins left="0.78740157480314965" right="0.39370078740157483" top="1.3779527559055118" bottom="0.78740157480314965" header="0.31496062992125984" footer="0.31496062992125984"/>
  <pageSetup paperSize="9" scale="50" orientation="landscape" r:id="rId1"/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="60" zoomScaleNormal="40" workbookViewId="0">
      <selection activeCell="L1" sqref="L1:M1"/>
    </sheetView>
  </sheetViews>
  <sheetFormatPr defaultRowHeight="13.2" x14ac:dyDescent="0.25"/>
  <cols>
    <col min="1" max="1" width="9.109375" style="1"/>
    <col min="2" max="2" width="52.33203125" style="1" customWidth="1"/>
    <col min="3" max="3" width="17.88671875" style="1" customWidth="1"/>
    <col min="4" max="6" width="16.44140625" style="1" customWidth="1"/>
    <col min="7" max="7" width="18.5546875" style="1" customWidth="1"/>
    <col min="8" max="9" width="15.44140625" style="1" customWidth="1"/>
    <col min="10" max="10" width="22.6640625" style="1" customWidth="1"/>
    <col min="11" max="11" width="25.5546875" style="1" customWidth="1"/>
    <col min="12" max="12" width="18.6640625" style="1" customWidth="1"/>
    <col min="13" max="13" width="13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15.6" x14ac:dyDescent="0.3">
      <c r="L1" s="91" t="s">
        <v>88</v>
      </c>
      <c r="M1" s="91"/>
    </row>
    <row r="2" spans="1:13" ht="15.6" x14ac:dyDescent="0.3">
      <c r="L2" s="18" t="s">
        <v>81</v>
      </c>
      <c r="M2" s="18"/>
    </row>
    <row r="3" spans="1:13" ht="15.6" x14ac:dyDescent="0.3">
      <c r="L3" s="18" t="s">
        <v>89</v>
      </c>
      <c r="M3" s="18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399999999999999" x14ac:dyDescent="0.25">
      <c r="B5" s="85" t="s">
        <v>74</v>
      </c>
      <c r="C5" s="85"/>
      <c r="D5" s="85"/>
      <c r="E5" s="85"/>
      <c r="F5" s="85"/>
      <c r="G5" s="85"/>
      <c r="H5" s="85"/>
      <c r="I5" s="85"/>
      <c r="J5" s="85"/>
      <c r="K5" s="85"/>
    </row>
    <row r="6" spans="1:13" ht="18.75" customHeight="1" x14ac:dyDescent="0.25">
      <c r="B6" s="86" t="s">
        <v>54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38" x14ac:dyDescent="0.25">
      <c r="A7" s="19" t="s">
        <v>1</v>
      </c>
      <c r="B7" s="19" t="s">
        <v>2</v>
      </c>
      <c r="C7" s="19" t="s">
        <v>66</v>
      </c>
      <c r="D7" s="19" t="s">
        <v>67</v>
      </c>
      <c r="E7" s="19" t="s">
        <v>3</v>
      </c>
      <c r="F7" s="19" t="s">
        <v>68</v>
      </c>
      <c r="G7" s="19" t="s">
        <v>69</v>
      </c>
      <c r="H7" s="19" t="s">
        <v>4</v>
      </c>
      <c r="I7" s="19" t="s">
        <v>5</v>
      </c>
      <c r="J7" s="19" t="s">
        <v>70</v>
      </c>
      <c r="K7" s="19" t="s">
        <v>71</v>
      </c>
      <c r="L7" s="19" t="s">
        <v>77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>
        <v>11</v>
      </c>
    </row>
    <row r="9" spans="1:13" ht="36" x14ac:dyDescent="0.25">
      <c r="A9" s="69">
        <v>1</v>
      </c>
      <c r="B9" s="28" t="s">
        <v>8</v>
      </c>
      <c r="C9" s="3">
        <v>34.04</v>
      </c>
      <c r="D9" s="3">
        <v>46.81</v>
      </c>
      <c r="E9" s="72" t="s">
        <v>9</v>
      </c>
      <c r="F9" s="80">
        <v>4.4459999999999997</v>
      </c>
      <c r="G9" s="80">
        <v>4.4459999999999997</v>
      </c>
      <c r="H9" s="3" t="s">
        <v>10</v>
      </c>
      <c r="I9" s="3">
        <f>G9-F9</f>
        <v>0</v>
      </c>
      <c r="J9" s="39">
        <v>0</v>
      </c>
      <c r="K9" s="39">
        <v>0</v>
      </c>
      <c r="L9" s="76">
        <f>(K9+K10)/(J9+J10)*100</f>
        <v>137.51468860164513</v>
      </c>
      <c r="M9" s="40">
        <f>G9/F9*100</f>
        <v>100</v>
      </c>
    </row>
    <row r="10" spans="1:13" ht="36" x14ac:dyDescent="0.25">
      <c r="A10" s="70"/>
      <c r="B10" s="28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f>C10*6212/12</f>
        <v>17621.373333333333</v>
      </c>
      <c r="K10" s="39">
        <f>D10*6212/12</f>
        <v>24231.976666666669</v>
      </c>
      <c r="L10" s="77"/>
      <c r="M10" s="40"/>
    </row>
    <row r="11" spans="1:13" ht="18" x14ac:dyDescent="0.25">
      <c r="A11" s="71"/>
      <c r="B11" s="28" t="s">
        <v>39</v>
      </c>
      <c r="C11" s="3">
        <v>34.04</v>
      </c>
      <c r="D11" s="3">
        <v>46.81</v>
      </c>
      <c r="E11" s="73"/>
      <c r="F11" s="20">
        <v>2.7E-2</v>
      </c>
      <c r="G11" s="20">
        <v>2.7E-2</v>
      </c>
      <c r="H11" s="3"/>
      <c r="I11" s="3">
        <f>G11-F11</f>
        <v>0</v>
      </c>
      <c r="J11" s="39">
        <v>0</v>
      </c>
      <c r="K11" s="39">
        <v>0</v>
      </c>
      <c r="L11" s="24"/>
      <c r="M11" s="40">
        <f t="shared" ref="M11:M19" si="0">G11/F11*100</f>
        <v>100</v>
      </c>
    </row>
    <row r="12" spans="1:13" ht="36" x14ac:dyDescent="0.25">
      <c r="A12" s="69">
        <v>2</v>
      </c>
      <c r="B12" s="28" t="s">
        <v>15</v>
      </c>
      <c r="C12" s="3">
        <v>129.56</v>
      </c>
      <c r="D12" s="3">
        <v>155.9</v>
      </c>
      <c r="E12" s="72" t="s">
        <v>9</v>
      </c>
      <c r="F12" s="83">
        <v>2.8730000000000002</v>
      </c>
      <c r="G12" s="83">
        <v>2.8730000000000002</v>
      </c>
      <c r="H12" s="3" t="s">
        <v>10</v>
      </c>
      <c r="I12" s="3">
        <f>G12-F12</f>
        <v>0</v>
      </c>
      <c r="J12" s="39">
        <v>0</v>
      </c>
      <c r="K12" s="39">
        <v>0</v>
      </c>
      <c r="L12" s="76">
        <f>(K12+K13)/(J12+J13)*100</f>
        <v>120.33034887310896</v>
      </c>
      <c r="M12" s="40">
        <f t="shared" si="0"/>
        <v>100</v>
      </c>
    </row>
    <row r="13" spans="1:13" ht="36" x14ac:dyDescent="0.25">
      <c r="A13" s="70"/>
      <c r="B13" s="28" t="s">
        <v>16</v>
      </c>
      <c r="C13" s="3">
        <v>129.56</v>
      </c>
      <c r="D13" s="3">
        <v>155.9</v>
      </c>
      <c r="E13" s="73"/>
      <c r="F13" s="84"/>
      <c r="G13" s="84"/>
      <c r="H13" s="3" t="s">
        <v>35</v>
      </c>
      <c r="I13" s="3">
        <v>0</v>
      </c>
      <c r="J13" s="39">
        <f>C13*3387/12</f>
        <v>36568.310000000005</v>
      </c>
      <c r="K13" s="39">
        <f>D13*3387/12</f>
        <v>44002.775000000001</v>
      </c>
      <c r="L13" s="77"/>
      <c r="M13" s="40"/>
    </row>
    <row r="14" spans="1:13" ht="18" x14ac:dyDescent="0.25">
      <c r="A14" s="71"/>
      <c r="B14" s="28" t="s">
        <v>40</v>
      </c>
      <c r="C14" s="3">
        <v>129.56</v>
      </c>
      <c r="D14" s="3">
        <v>155.9</v>
      </c>
      <c r="E14" s="37"/>
      <c r="F14" s="38">
        <v>2.7E-2</v>
      </c>
      <c r="G14" s="38">
        <v>2.7E-2</v>
      </c>
      <c r="H14" s="3"/>
      <c r="I14" s="3"/>
      <c r="J14" s="39">
        <v>0</v>
      </c>
      <c r="K14" s="39">
        <v>0</v>
      </c>
      <c r="L14" s="36">
        <v>0</v>
      </c>
      <c r="M14" s="40">
        <f t="shared" si="0"/>
        <v>100</v>
      </c>
    </row>
    <row r="15" spans="1:13" ht="36" x14ac:dyDescent="0.25">
      <c r="A15" s="69">
        <v>3</v>
      </c>
      <c r="B15" s="28" t="s">
        <v>17</v>
      </c>
      <c r="C15" s="3">
        <v>34.159999999999997</v>
      </c>
      <c r="D15" s="3">
        <v>46.54</v>
      </c>
      <c r="E15" s="72" t="s">
        <v>9</v>
      </c>
      <c r="F15" s="80">
        <v>7.319</v>
      </c>
      <c r="G15" s="80">
        <v>7.319</v>
      </c>
      <c r="H15" s="3" t="s">
        <v>10</v>
      </c>
      <c r="I15" s="3">
        <f>G15-F15</f>
        <v>0</v>
      </c>
      <c r="J15" s="39">
        <v>0</v>
      </c>
      <c r="K15" s="39">
        <v>0</v>
      </c>
      <c r="L15" s="76">
        <f>(K15+K16)/(J15+J16)*100</f>
        <v>136.24121779859485</v>
      </c>
      <c r="M15" s="40">
        <f t="shared" si="0"/>
        <v>100</v>
      </c>
    </row>
    <row r="16" spans="1:13" ht="18" x14ac:dyDescent="0.25">
      <c r="A16" s="71"/>
      <c r="B16" s="28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>
        <f>C16*9471/12</f>
        <v>26960.78</v>
      </c>
      <c r="K16" s="39">
        <f>D16*9471/12</f>
        <v>36731.695</v>
      </c>
      <c r="L16" s="77"/>
      <c r="M16" s="40"/>
    </row>
    <row r="17" spans="1:13" ht="36" x14ac:dyDescent="0.25">
      <c r="A17" s="69">
        <v>4</v>
      </c>
      <c r="B17" s="28" t="s">
        <v>19</v>
      </c>
      <c r="C17" s="3">
        <v>1347.49</v>
      </c>
      <c r="D17" s="3">
        <v>1517.3</v>
      </c>
      <c r="E17" s="72" t="s">
        <v>20</v>
      </c>
      <c r="F17" s="80">
        <v>2.8000000000000001E-2</v>
      </c>
      <c r="G17" s="80">
        <v>2.8000000000000001E-2</v>
      </c>
      <c r="H17" s="3" t="s">
        <v>21</v>
      </c>
      <c r="I17" s="3">
        <f>G17-F17</f>
        <v>0</v>
      </c>
      <c r="J17" s="39">
        <f>C17*F17*C27</f>
        <v>97425.682983999999</v>
      </c>
      <c r="K17" s="39">
        <f>D17*G17*C27</f>
        <v>109703.21768</v>
      </c>
      <c r="L17" s="76">
        <f>(K17+K18)/(J17+J18)*100</f>
        <v>112.60194880852548</v>
      </c>
      <c r="M17" s="40">
        <f t="shared" si="0"/>
        <v>100</v>
      </c>
    </row>
    <row r="18" spans="1:13" ht="18" x14ac:dyDescent="0.25">
      <c r="A18" s="71"/>
      <c r="B18" s="28" t="s">
        <v>22</v>
      </c>
      <c r="C18" s="3">
        <v>1347.49</v>
      </c>
      <c r="D18" s="3">
        <v>1517.3</v>
      </c>
      <c r="E18" s="73"/>
      <c r="F18" s="81"/>
      <c r="G18" s="81"/>
      <c r="H18" s="3" t="s">
        <v>36</v>
      </c>
      <c r="I18" s="3">
        <v>0</v>
      </c>
      <c r="J18" s="39">
        <v>0</v>
      </c>
      <c r="K18" s="39">
        <v>0</v>
      </c>
      <c r="L18" s="77"/>
      <c r="M18" s="40"/>
    </row>
    <row r="19" spans="1:13" ht="36" x14ac:dyDescent="0.25">
      <c r="A19" s="69">
        <v>5</v>
      </c>
      <c r="B19" s="28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108.47953216374266</v>
      </c>
      <c r="M19" s="40">
        <f t="shared" si="0"/>
        <v>100</v>
      </c>
    </row>
    <row r="20" spans="1:13" ht="36" x14ac:dyDescent="0.25">
      <c r="A20" s="70"/>
      <c r="B20" s="28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40075.560000000005</v>
      </c>
      <c r="K20" s="39">
        <f>D20*G19*C26</f>
        <v>43473.78</v>
      </c>
      <c r="L20" s="77"/>
      <c r="M20" s="40"/>
    </row>
    <row r="21" spans="1:13" ht="18" x14ac:dyDescent="0.25">
      <c r="A21" s="71"/>
      <c r="B21" s="28" t="s">
        <v>41</v>
      </c>
      <c r="C21" s="3">
        <v>1.71</v>
      </c>
      <c r="D21" s="64">
        <v>1.855</v>
      </c>
      <c r="E21" s="37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0"/>
    </row>
    <row r="22" spans="1:13" ht="36" x14ac:dyDescent="0.25">
      <c r="A22" s="69">
        <v>6</v>
      </c>
      <c r="B22" s="28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0"/>
    </row>
    <row r="23" spans="1:13" ht="31.2" x14ac:dyDescent="0.25">
      <c r="A23" s="71"/>
      <c r="B23" s="28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0"/>
    </row>
    <row r="24" spans="1:13" ht="15.6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J10+J13+J16+J17+J20</f>
        <v>218651.70631733333</v>
      </c>
      <c r="K24" s="47">
        <f>K10+K13+K16+K17+K20</f>
        <v>258143.44434666669</v>
      </c>
      <c r="L24" s="47">
        <f>K24/J24*100</f>
        <v>118.06148174852029</v>
      </c>
      <c r="M24" s="40"/>
    </row>
    <row r="26" spans="1:13" ht="31.2" x14ac:dyDescent="0.25">
      <c r="B26" s="7" t="s">
        <v>32</v>
      </c>
      <c r="C26" s="8">
        <v>217</v>
      </c>
    </row>
    <row r="27" spans="1:13" ht="15.6" x14ac:dyDescent="0.25">
      <c r="B27" s="7" t="s">
        <v>33</v>
      </c>
      <c r="C27" s="8">
        <v>2582.1999999999998</v>
      </c>
    </row>
    <row r="28" spans="1:13" ht="46.8" x14ac:dyDescent="0.25">
      <c r="B28" s="7" t="s">
        <v>80</v>
      </c>
      <c r="C28" s="26">
        <f>J24</f>
        <v>218651.70631733333</v>
      </c>
    </row>
    <row r="29" spans="1:13" ht="46.8" x14ac:dyDescent="0.25">
      <c r="B29" s="7" t="s">
        <v>79</v>
      </c>
      <c r="C29" s="26">
        <f>K24</f>
        <v>258143.44434666669</v>
      </c>
    </row>
    <row r="30" spans="1:13" ht="15.6" x14ac:dyDescent="0.25">
      <c r="B30" s="9"/>
      <c r="C30" s="32"/>
    </row>
    <row r="31" spans="1:13" ht="15.6" x14ac:dyDescent="0.25">
      <c r="B31" s="9"/>
      <c r="C31" s="10"/>
    </row>
    <row r="32" spans="1:13" ht="18" hidden="1" x14ac:dyDescent="0.35">
      <c r="B32" s="59" t="s">
        <v>59</v>
      </c>
      <c r="C32" s="11"/>
      <c r="D32" s="12"/>
      <c r="E32" s="13"/>
      <c r="F32" s="12"/>
      <c r="G32" s="13" t="s">
        <v>61</v>
      </c>
      <c r="H32" s="12"/>
    </row>
    <row r="33" spans="1:12" ht="18" hidden="1" x14ac:dyDescent="0.35">
      <c r="B33" s="12"/>
      <c r="C33" s="12"/>
      <c r="D33" s="12"/>
      <c r="E33" s="14" t="s">
        <v>34</v>
      </c>
      <c r="F33" s="12"/>
      <c r="G33" s="12" t="s">
        <v>62</v>
      </c>
      <c r="H33" s="12"/>
    </row>
    <row r="34" spans="1:12" ht="18" hidden="1" x14ac:dyDescent="0.35">
      <c r="B34" s="12"/>
      <c r="C34" s="12"/>
      <c r="D34" s="12"/>
      <c r="E34" s="14"/>
      <c r="F34" s="12"/>
      <c r="G34" s="12"/>
      <c r="H34" s="12"/>
    </row>
    <row r="35" spans="1:12" ht="18" hidden="1" x14ac:dyDescent="0.35">
      <c r="B35" s="15" t="s">
        <v>58</v>
      </c>
      <c r="C35" s="12"/>
      <c r="D35" s="12"/>
      <c r="E35" s="14"/>
      <c r="F35" s="12"/>
      <c r="G35" s="12"/>
      <c r="H35" s="12"/>
    </row>
    <row r="36" spans="1:12" ht="14.25" hidden="1" customHeight="1" x14ac:dyDescent="0.35">
      <c r="B36" s="15" t="s">
        <v>50</v>
      </c>
      <c r="C36" s="12"/>
      <c r="D36" s="12"/>
      <c r="E36" s="14"/>
      <c r="F36" s="12"/>
      <c r="G36" s="12"/>
      <c r="H36" s="12"/>
    </row>
    <row r="37" spans="1:12" ht="22.8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35">
    <mergeCell ref="B4:K4"/>
    <mergeCell ref="B5:K5"/>
    <mergeCell ref="B6:K6"/>
    <mergeCell ref="A9:A11"/>
    <mergeCell ref="E9:E11"/>
    <mergeCell ref="F9:F10"/>
    <mergeCell ref="G9:G10"/>
    <mergeCell ref="L9:L10"/>
    <mergeCell ref="A12:A14"/>
    <mergeCell ref="E12:E13"/>
    <mergeCell ref="F12:F13"/>
    <mergeCell ref="G12:G13"/>
    <mergeCell ref="L12:L13"/>
    <mergeCell ref="L15:L16"/>
    <mergeCell ref="A17:A18"/>
    <mergeCell ref="E17:E18"/>
    <mergeCell ref="F17:F18"/>
    <mergeCell ref="G17:G18"/>
    <mergeCell ref="L17:L18"/>
    <mergeCell ref="L1:M1"/>
    <mergeCell ref="A24:B24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  <mergeCell ref="G15:G16"/>
  </mergeCells>
  <pageMargins left="0.78740157480314965" right="0.39370078740157483" top="1.3779527559055118" bottom="0.78740157480314965" header="0.31496062992125984" footer="0.31496062992125984"/>
  <pageSetup paperSize="9" scale="51" orientation="landscape" r:id="rId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60" zoomScaleNormal="50" workbookViewId="0">
      <selection activeCell="F28" sqref="F28"/>
    </sheetView>
  </sheetViews>
  <sheetFormatPr defaultRowHeight="13.2" x14ac:dyDescent="0.25"/>
  <cols>
    <col min="1" max="1" width="9.109375" style="1"/>
    <col min="2" max="2" width="52.33203125" style="1" customWidth="1"/>
    <col min="3" max="3" width="16" style="1" customWidth="1"/>
    <col min="4" max="4" width="15.44140625" style="1" customWidth="1"/>
    <col min="5" max="6" width="16.44140625" style="1" customWidth="1"/>
    <col min="7" max="7" width="18.5546875" style="1" customWidth="1"/>
    <col min="8" max="9" width="15.44140625" style="1" customWidth="1"/>
    <col min="10" max="10" width="22.33203125" style="1" customWidth="1"/>
    <col min="11" max="11" width="22" style="1" customWidth="1"/>
    <col min="12" max="12" width="20.33203125" style="1" customWidth="1"/>
    <col min="13" max="13" width="12.109375" style="1" customWidth="1"/>
    <col min="14" max="254" width="9.109375" style="1"/>
    <col min="255" max="255" width="33.5546875" style="1" customWidth="1"/>
    <col min="256" max="256" width="17.88671875" style="1" customWidth="1"/>
    <col min="257" max="257" width="16.44140625" style="1" customWidth="1"/>
    <col min="258" max="258" width="13.33203125" style="1" customWidth="1"/>
    <col min="259" max="259" width="16.44140625" style="1" customWidth="1"/>
    <col min="260" max="260" width="15.44140625" style="1" customWidth="1"/>
    <col min="261" max="261" width="14.6640625" style="1" customWidth="1"/>
    <col min="262" max="262" width="19" style="1" customWidth="1"/>
    <col min="263" max="263" width="16.109375" style="1" customWidth="1"/>
    <col min="264" max="264" width="14.109375" style="1" customWidth="1"/>
    <col min="265" max="265" width="13.33203125" style="1" customWidth="1"/>
    <col min="266" max="266" width="13.44140625" style="1" customWidth="1"/>
    <col min="267" max="510" width="9.109375" style="1"/>
    <col min="511" max="511" width="33.5546875" style="1" customWidth="1"/>
    <col min="512" max="512" width="17.88671875" style="1" customWidth="1"/>
    <col min="513" max="513" width="16.44140625" style="1" customWidth="1"/>
    <col min="514" max="514" width="13.33203125" style="1" customWidth="1"/>
    <col min="515" max="515" width="16.44140625" style="1" customWidth="1"/>
    <col min="516" max="516" width="15.44140625" style="1" customWidth="1"/>
    <col min="517" max="517" width="14.6640625" style="1" customWidth="1"/>
    <col min="518" max="518" width="19" style="1" customWidth="1"/>
    <col min="519" max="519" width="16.109375" style="1" customWidth="1"/>
    <col min="520" max="520" width="14.109375" style="1" customWidth="1"/>
    <col min="521" max="521" width="13.33203125" style="1" customWidth="1"/>
    <col min="522" max="522" width="13.44140625" style="1" customWidth="1"/>
    <col min="523" max="766" width="9.109375" style="1"/>
    <col min="767" max="767" width="33.5546875" style="1" customWidth="1"/>
    <col min="768" max="768" width="17.88671875" style="1" customWidth="1"/>
    <col min="769" max="769" width="16.44140625" style="1" customWidth="1"/>
    <col min="770" max="770" width="13.33203125" style="1" customWidth="1"/>
    <col min="771" max="771" width="16.44140625" style="1" customWidth="1"/>
    <col min="772" max="772" width="15.44140625" style="1" customWidth="1"/>
    <col min="773" max="773" width="14.6640625" style="1" customWidth="1"/>
    <col min="774" max="774" width="19" style="1" customWidth="1"/>
    <col min="775" max="775" width="16.109375" style="1" customWidth="1"/>
    <col min="776" max="776" width="14.109375" style="1" customWidth="1"/>
    <col min="777" max="777" width="13.33203125" style="1" customWidth="1"/>
    <col min="778" max="778" width="13.44140625" style="1" customWidth="1"/>
    <col min="779" max="1022" width="9.109375" style="1"/>
    <col min="1023" max="1023" width="33.5546875" style="1" customWidth="1"/>
    <col min="1024" max="1024" width="17.88671875" style="1" customWidth="1"/>
    <col min="1025" max="1025" width="16.44140625" style="1" customWidth="1"/>
    <col min="1026" max="1026" width="13.33203125" style="1" customWidth="1"/>
    <col min="1027" max="1027" width="16.44140625" style="1" customWidth="1"/>
    <col min="1028" max="1028" width="15.44140625" style="1" customWidth="1"/>
    <col min="1029" max="1029" width="14.6640625" style="1" customWidth="1"/>
    <col min="1030" max="1030" width="19" style="1" customWidth="1"/>
    <col min="1031" max="1031" width="16.109375" style="1" customWidth="1"/>
    <col min="1032" max="1032" width="14.109375" style="1" customWidth="1"/>
    <col min="1033" max="1033" width="13.33203125" style="1" customWidth="1"/>
    <col min="1034" max="1034" width="13.44140625" style="1" customWidth="1"/>
    <col min="1035" max="1278" width="9.109375" style="1"/>
    <col min="1279" max="1279" width="33.5546875" style="1" customWidth="1"/>
    <col min="1280" max="1280" width="17.88671875" style="1" customWidth="1"/>
    <col min="1281" max="1281" width="16.44140625" style="1" customWidth="1"/>
    <col min="1282" max="1282" width="13.33203125" style="1" customWidth="1"/>
    <col min="1283" max="1283" width="16.44140625" style="1" customWidth="1"/>
    <col min="1284" max="1284" width="15.44140625" style="1" customWidth="1"/>
    <col min="1285" max="1285" width="14.6640625" style="1" customWidth="1"/>
    <col min="1286" max="1286" width="19" style="1" customWidth="1"/>
    <col min="1287" max="1287" width="16.109375" style="1" customWidth="1"/>
    <col min="1288" max="1288" width="14.109375" style="1" customWidth="1"/>
    <col min="1289" max="1289" width="13.33203125" style="1" customWidth="1"/>
    <col min="1290" max="1290" width="13.44140625" style="1" customWidth="1"/>
    <col min="1291" max="1534" width="9.109375" style="1"/>
    <col min="1535" max="1535" width="33.5546875" style="1" customWidth="1"/>
    <col min="1536" max="1536" width="17.88671875" style="1" customWidth="1"/>
    <col min="1537" max="1537" width="16.44140625" style="1" customWidth="1"/>
    <col min="1538" max="1538" width="13.33203125" style="1" customWidth="1"/>
    <col min="1539" max="1539" width="16.44140625" style="1" customWidth="1"/>
    <col min="1540" max="1540" width="15.44140625" style="1" customWidth="1"/>
    <col min="1541" max="1541" width="14.6640625" style="1" customWidth="1"/>
    <col min="1542" max="1542" width="19" style="1" customWidth="1"/>
    <col min="1543" max="1543" width="16.109375" style="1" customWidth="1"/>
    <col min="1544" max="1544" width="14.109375" style="1" customWidth="1"/>
    <col min="1545" max="1545" width="13.33203125" style="1" customWidth="1"/>
    <col min="1546" max="1546" width="13.44140625" style="1" customWidth="1"/>
    <col min="1547" max="1790" width="9.109375" style="1"/>
    <col min="1791" max="1791" width="33.5546875" style="1" customWidth="1"/>
    <col min="1792" max="1792" width="17.88671875" style="1" customWidth="1"/>
    <col min="1793" max="1793" width="16.44140625" style="1" customWidth="1"/>
    <col min="1794" max="1794" width="13.33203125" style="1" customWidth="1"/>
    <col min="1795" max="1795" width="16.44140625" style="1" customWidth="1"/>
    <col min="1796" max="1796" width="15.44140625" style="1" customWidth="1"/>
    <col min="1797" max="1797" width="14.6640625" style="1" customWidth="1"/>
    <col min="1798" max="1798" width="19" style="1" customWidth="1"/>
    <col min="1799" max="1799" width="16.109375" style="1" customWidth="1"/>
    <col min="1800" max="1800" width="14.109375" style="1" customWidth="1"/>
    <col min="1801" max="1801" width="13.33203125" style="1" customWidth="1"/>
    <col min="1802" max="1802" width="13.44140625" style="1" customWidth="1"/>
    <col min="1803" max="2046" width="9.109375" style="1"/>
    <col min="2047" max="2047" width="33.5546875" style="1" customWidth="1"/>
    <col min="2048" max="2048" width="17.88671875" style="1" customWidth="1"/>
    <col min="2049" max="2049" width="16.44140625" style="1" customWidth="1"/>
    <col min="2050" max="2050" width="13.33203125" style="1" customWidth="1"/>
    <col min="2051" max="2051" width="16.44140625" style="1" customWidth="1"/>
    <col min="2052" max="2052" width="15.44140625" style="1" customWidth="1"/>
    <col min="2053" max="2053" width="14.6640625" style="1" customWidth="1"/>
    <col min="2054" max="2054" width="19" style="1" customWidth="1"/>
    <col min="2055" max="2055" width="16.109375" style="1" customWidth="1"/>
    <col min="2056" max="2056" width="14.109375" style="1" customWidth="1"/>
    <col min="2057" max="2057" width="13.33203125" style="1" customWidth="1"/>
    <col min="2058" max="2058" width="13.44140625" style="1" customWidth="1"/>
    <col min="2059" max="2302" width="9.109375" style="1"/>
    <col min="2303" max="2303" width="33.5546875" style="1" customWidth="1"/>
    <col min="2304" max="2304" width="17.88671875" style="1" customWidth="1"/>
    <col min="2305" max="2305" width="16.44140625" style="1" customWidth="1"/>
    <col min="2306" max="2306" width="13.33203125" style="1" customWidth="1"/>
    <col min="2307" max="2307" width="16.44140625" style="1" customWidth="1"/>
    <col min="2308" max="2308" width="15.44140625" style="1" customWidth="1"/>
    <col min="2309" max="2309" width="14.6640625" style="1" customWidth="1"/>
    <col min="2310" max="2310" width="19" style="1" customWidth="1"/>
    <col min="2311" max="2311" width="16.109375" style="1" customWidth="1"/>
    <col min="2312" max="2312" width="14.109375" style="1" customWidth="1"/>
    <col min="2313" max="2313" width="13.33203125" style="1" customWidth="1"/>
    <col min="2314" max="2314" width="13.44140625" style="1" customWidth="1"/>
    <col min="2315" max="2558" width="9.109375" style="1"/>
    <col min="2559" max="2559" width="33.5546875" style="1" customWidth="1"/>
    <col min="2560" max="2560" width="17.88671875" style="1" customWidth="1"/>
    <col min="2561" max="2561" width="16.44140625" style="1" customWidth="1"/>
    <col min="2562" max="2562" width="13.33203125" style="1" customWidth="1"/>
    <col min="2563" max="2563" width="16.44140625" style="1" customWidth="1"/>
    <col min="2564" max="2564" width="15.44140625" style="1" customWidth="1"/>
    <col min="2565" max="2565" width="14.6640625" style="1" customWidth="1"/>
    <col min="2566" max="2566" width="19" style="1" customWidth="1"/>
    <col min="2567" max="2567" width="16.109375" style="1" customWidth="1"/>
    <col min="2568" max="2568" width="14.109375" style="1" customWidth="1"/>
    <col min="2569" max="2569" width="13.33203125" style="1" customWidth="1"/>
    <col min="2570" max="2570" width="13.44140625" style="1" customWidth="1"/>
    <col min="2571" max="2814" width="9.109375" style="1"/>
    <col min="2815" max="2815" width="33.5546875" style="1" customWidth="1"/>
    <col min="2816" max="2816" width="17.88671875" style="1" customWidth="1"/>
    <col min="2817" max="2817" width="16.44140625" style="1" customWidth="1"/>
    <col min="2818" max="2818" width="13.33203125" style="1" customWidth="1"/>
    <col min="2819" max="2819" width="16.44140625" style="1" customWidth="1"/>
    <col min="2820" max="2820" width="15.44140625" style="1" customWidth="1"/>
    <col min="2821" max="2821" width="14.6640625" style="1" customWidth="1"/>
    <col min="2822" max="2822" width="19" style="1" customWidth="1"/>
    <col min="2823" max="2823" width="16.109375" style="1" customWidth="1"/>
    <col min="2824" max="2824" width="14.109375" style="1" customWidth="1"/>
    <col min="2825" max="2825" width="13.33203125" style="1" customWidth="1"/>
    <col min="2826" max="2826" width="13.44140625" style="1" customWidth="1"/>
    <col min="2827" max="3070" width="9.109375" style="1"/>
    <col min="3071" max="3071" width="33.5546875" style="1" customWidth="1"/>
    <col min="3072" max="3072" width="17.88671875" style="1" customWidth="1"/>
    <col min="3073" max="3073" width="16.44140625" style="1" customWidth="1"/>
    <col min="3074" max="3074" width="13.33203125" style="1" customWidth="1"/>
    <col min="3075" max="3075" width="16.44140625" style="1" customWidth="1"/>
    <col min="3076" max="3076" width="15.44140625" style="1" customWidth="1"/>
    <col min="3077" max="3077" width="14.6640625" style="1" customWidth="1"/>
    <col min="3078" max="3078" width="19" style="1" customWidth="1"/>
    <col min="3079" max="3079" width="16.109375" style="1" customWidth="1"/>
    <col min="3080" max="3080" width="14.109375" style="1" customWidth="1"/>
    <col min="3081" max="3081" width="13.33203125" style="1" customWidth="1"/>
    <col min="3082" max="3082" width="13.44140625" style="1" customWidth="1"/>
    <col min="3083" max="3326" width="9.109375" style="1"/>
    <col min="3327" max="3327" width="33.5546875" style="1" customWidth="1"/>
    <col min="3328" max="3328" width="17.88671875" style="1" customWidth="1"/>
    <col min="3329" max="3329" width="16.44140625" style="1" customWidth="1"/>
    <col min="3330" max="3330" width="13.33203125" style="1" customWidth="1"/>
    <col min="3331" max="3331" width="16.44140625" style="1" customWidth="1"/>
    <col min="3332" max="3332" width="15.44140625" style="1" customWidth="1"/>
    <col min="3333" max="3333" width="14.6640625" style="1" customWidth="1"/>
    <col min="3334" max="3334" width="19" style="1" customWidth="1"/>
    <col min="3335" max="3335" width="16.109375" style="1" customWidth="1"/>
    <col min="3336" max="3336" width="14.109375" style="1" customWidth="1"/>
    <col min="3337" max="3337" width="13.33203125" style="1" customWidth="1"/>
    <col min="3338" max="3338" width="13.44140625" style="1" customWidth="1"/>
    <col min="3339" max="3582" width="9.109375" style="1"/>
    <col min="3583" max="3583" width="33.5546875" style="1" customWidth="1"/>
    <col min="3584" max="3584" width="17.88671875" style="1" customWidth="1"/>
    <col min="3585" max="3585" width="16.44140625" style="1" customWidth="1"/>
    <col min="3586" max="3586" width="13.33203125" style="1" customWidth="1"/>
    <col min="3587" max="3587" width="16.44140625" style="1" customWidth="1"/>
    <col min="3588" max="3588" width="15.44140625" style="1" customWidth="1"/>
    <col min="3589" max="3589" width="14.6640625" style="1" customWidth="1"/>
    <col min="3590" max="3590" width="19" style="1" customWidth="1"/>
    <col min="3591" max="3591" width="16.109375" style="1" customWidth="1"/>
    <col min="3592" max="3592" width="14.109375" style="1" customWidth="1"/>
    <col min="3593" max="3593" width="13.33203125" style="1" customWidth="1"/>
    <col min="3594" max="3594" width="13.44140625" style="1" customWidth="1"/>
    <col min="3595" max="3838" width="9.109375" style="1"/>
    <col min="3839" max="3839" width="33.5546875" style="1" customWidth="1"/>
    <col min="3840" max="3840" width="17.88671875" style="1" customWidth="1"/>
    <col min="3841" max="3841" width="16.44140625" style="1" customWidth="1"/>
    <col min="3842" max="3842" width="13.33203125" style="1" customWidth="1"/>
    <col min="3843" max="3843" width="16.44140625" style="1" customWidth="1"/>
    <col min="3844" max="3844" width="15.44140625" style="1" customWidth="1"/>
    <col min="3845" max="3845" width="14.6640625" style="1" customWidth="1"/>
    <col min="3846" max="3846" width="19" style="1" customWidth="1"/>
    <col min="3847" max="3847" width="16.109375" style="1" customWidth="1"/>
    <col min="3848" max="3848" width="14.109375" style="1" customWidth="1"/>
    <col min="3849" max="3849" width="13.33203125" style="1" customWidth="1"/>
    <col min="3850" max="3850" width="13.44140625" style="1" customWidth="1"/>
    <col min="3851" max="4094" width="9.109375" style="1"/>
    <col min="4095" max="4095" width="33.5546875" style="1" customWidth="1"/>
    <col min="4096" max="4096" width="17.88671875" style="1" customWidth="1"/>
    <col min="4097" max="4097" width="16.44140625" style="1" customWidth="1"/>
    <col min="4098" max="4098" width="13.33203125" style="1" customWidth="1"/>
    <col min="4099" max="4099" width="16.44140625" style="1" customWidth="1"/>
    <col min="4100" max="4100" width="15.44140625" style="1" customWidth="1"/>
    <col min="4101" max="4101" width="14.6640625" style="1" customWidth="1"/>
    <col min="4102" max="4102" width="19" style="1" customWidth="1"/>
    <col min="4103" max="4103" width="16.109375" style="1" customWidth="1"/>
    <col min="4104" max="4104" width="14.109375" style="1" customWidth="1"/>
    <col min="4105" max="4105" width="13.33203125" style="1" customWidth="1"/>
    <col min="4106" max="4106" width="13.44140625" style="1" customWidth="1"/>
    <col min="4107" max="4350" width="9.109375" style="1"/>
    <col min="4351" max="4351" width="33.5546875" style="1" customWidth="1"/>
    <col min="4352" max="4352" width="17.88671875" style="1" customWidth="1"/>
    <col min="4353" max="4353" width="16.44140625" style="1" customWidth="1"/>
    <col min="4354" max="4354" width="13.33203125" style="1" customWidth="1"/>
    <col min="4355" max="4355" width="16.44140625" style="1" customWidth="1"/>
    <col min="4356" max="4356" width="15.44140625" style="1" customWidth="1"/>
    <col min="4357" max="4357" width="14.6640625" style="1" customWidth="1"/>
    <col min="4358" max="4358" width="19" style="1" customWidth="1"/>
    <col min="4359" max="4359" width="16.109375" style="1" customWidth="1"/>
    <col min="4360" max="4360" width="14.109375" style="1" customWidth="1"/>
    <col min="4361" max="4361" width="13.33203125" style="1" customWidth="1"/>
    <col min="4362" max="4362" width="13.44140625" style="1" customWidth="1"/>
    <col min="4363" max="4606" width="9.109375" style="1"/>
    <col min="4607" max="4607" width="33.5546875" style="1" customWidth="1"/>
    <col min="4608" max="4608" width="17.88671875" style="1" customWidth="1"/>
    <col min="4609" max="4609" width="16.44140625" style="1" customWidth="1"/>
    <col min="4610" max="4610" width="13.33203125" style="1" customWidth="1"/>
    <col min="4611" max="4611" width="16.44140625" style="1" customWidth="1"/>
    <col min="4612" max="4612" width="15.44140625" style="1" customWidth="1"/>
    <col min="4613" max="4613" width="14.6640625" style="1" customWidth="1"/>
    <col min="4614" max="4614" width="19" style="1" customWidth="1"/>
    <col min="4615" max="4615" width="16.109375" style="1" customWidth="1"/>
    <col min="4616" max="4616" width="14.109375" style="1" customWidth="1"/>
    <col min="4617" max="4617" width="13.33203125" style="1" customWidth="1"/>
    <col min="4618" max="4618" width="13.44140625" style="1" customWidth="1"/>
    <col min="4619" max="4862" width="9.109375" style="1"/>
    <col min="4863" max="4863" width="33.5546875" style="1" customWidth="1"/>
    <col min="4864" max="4864" width="17.88671875" style="1" customWidth="1"/>
    <col min="4865" max="4865" width="16.44140625" style="1" customWidth="1"/>
    <col min="4866" max="4866" width="13.33203125" style="1" customWidth="1"/>
    <col min="4867" max="4867" width="16.44140625" style="1" customWidth="1"/>
    <col min="4868" max="4868" width="15.44140625" style="1" customWidth="1"/>
    <col min="4869" max="4869" width="14.6640625" style="1" customWidth="1"/>
    <col min="4870" max="4870" width="19" style="1" customWidth="1"/>
    <col min="4871" max="4871" width="16.109375" style="1" customWidth="1"/>
    <col min="4872" max="4872" width="14.109375" style="1" customWidth="1"/>
    <col min="4873" max="4873" width="13.33203125" style="1" customWidth="1"/>
    <col min="4874" max="4874" width="13.44140625" style="1" customWidth="1"/>
    <col min="4875" max="5118" width="9.109375" style="1"/>
    <col min="5119" max="5119" width="33.5546875" style="1" customWidth="1"/>
    <col min="5120" max="5120" width="17.88671875" style="1" customWidth="1"/>
    <col min="5121" max="5121" width="16.44140625" style="1" customWidth="1"/>
    <col min="5122" max="5122" width="13.33203125" style="1" customWidth="1"/>
    <col min="5123" max="5123" width="16.44140625" style="1" customWidth="1"/>
    <col min="5124" max="5124" width="15.44140625" style="1" customWidth="1"/>
    <col min="5125" max="5125" width="14.6640625" style="1" customWidth="1"/>
    <col min="5126" max="5126" width="19" style="1" customWidth="1"/>
    <col min="5127" max="5127" width="16.109375" style="1" customWidth="1"/>
    <col min="5128" max="5128" width="14.109375" style="1" customWidth="1"/>
    <col min="5129" max="5129" width="13.33203125" style="1" customWidth="1"/>
    <col min="5130" max="5130" width="13.44140625" style="1" customWidth="1"/>
    <col min="5131" max="5374" width="9.109375" style="1"/>
    <col min="5375" max="5375" width="33.5546875" style="1" customWidth="1"/>
    <col min="5376" max="5376" width="17.88671875" style="1" customWidth="1"/>
    <col min="5377" max="5377" width="16.44140625" style="1" customWidth="1"/>
    <col min="5378" max="5378" width="13.33203125" style="1" customWidth="1"/>
    <col min="5379" max="5379" width="16.44140625" style="1" customWidth="1"/>
    <col min="5380" max="5380" width="15.44140625" style="1" customWidth="1"/>
    <col min="5381" max="5381" width="14.6640625" style="1" customWidth="1"/>
    <col min="5382" max="5382" width="19" style="1" customWidth="1"/>
    <col min="5383" max="5383" width="16.109375" style="1" customWidth="1"/>
    <col min="5384" max="5384" width="14.109375" style="1" customWidth="1"/>
    <col min="5385" max="5385" width="13.33203125" style="1" customWidth="1"/>
    <col min="5386" max="5386" width="13.44140625" style="1" customWidth="1"/>
    <col min="5387" max="5630" width="9.109375" style="1"/>
    <col min="5631" max="5631" width="33.5546875" style="1" customWidth="1"/>
    <col min="5632" max="5632" width="17.88671875" style="1" customWidth="1"/>
    <col min="5633" max="5633" width="16.44140625" style="1" customWidth="1"/>
    <col min="5634" max="5634" width="13.33203125" style="1" customWidth="1"/>
    <col min="5635" max="5635" width="16.44140625" style="1" customWidth="1"/>
    <col min="5636" max="5636" width="15.44140625" style="1" customWidth="1"/>
    <col min="5637" max="5637" width="14.6640625" style="1" customWidth="1"/>
    <col min="5638" max="5638" width="19" style="1" customWidth="1"/>
    <col min="5639" max="5639" width="16.109375" style="1" customWidth="1"/>
    <col min="5640" max="5640" width="14.109375" style="1" customWidth="1"/>
    <col min="5641" max="5641" width="13.33203125" style="1" customWidth="1"/>
    <col min="5642" max="5642" width="13.44140625" style="1" customWidth="1"/>
    <col min="5643" max="5886" width="9.109375" style="1"/>
    <col min="5887" max="5887" width="33.5546875" style="1" customWidth="1"/>
    <col min="5888" max="5888" width="17.88671875" style="1" customWidth="1"/>
    <col min="5889" max="5889" width="16.44140625" style="1" customWidth="1"/>
    <col min="5890" max="5890" width="13.33203125" style="1" customWidth="1"/>
    <col min="5891" max="5891" width="16.44140625" style="1" customWidth="1"/>
    <col min="5892" max="5892" width="15.44140625" style="1" customWidth="1"/>
    <col min="5893" max="5893" width="14.6640625" style="1" customWidth="1"/>
    <col min="5894" max="5894" width="19" style="1" customWidth="1"/>
    <col min="5895" max="5895" width="16.109375" style="1" customWidth="1"/>
    <col min="5896" max="5896" width="14.109375" style="1" customWidth="1"/>
    <col min="5897" max="5897" width="13.33203125" style="1" customWidth="1"/>
    <col min="5898" max="5898" width="13.44140625" style="1" customWidth="1"/>
    <col min="5899" max="6142" width="9.109375" style="1"/>
    <col min="6143" max="6143" width="33.5546875" style="1" customWidth="1"/>
    <col min="6144" max="6144" width="17.88671875" style="1" customWidth="1"/>
    <col min="6145" max="6145" width="16.44140625" style="1" customWidth="1"/>
    <col min="6146" max="6146" width="13.33203125" style="1" customWidth="1"/>
    <col min="6147" max="6147" width="16.44140625" style="1" customWidth="1"/>
    <col min="6148" max="6148" width="15.44140625" style="1" customWidth="1"/>
    <col min="6149" max="6149" width="14.6640625" style="1" customWidth="1"/>
    <col min="6150" max="6150" width="19" style="1" customWidth="1"/>
    <col min="6151" max="6151" width="16.109375" style="1" customWidth="1"/>
    <col min="6152" max="6152" width="14.109375" style="1" customWidth="1"/>
    <col min="6153" max="6153" width="13.33203125" style="1" customWidth="1"/>
    <col min="6154" max="6154" width="13.44140625" style="1" customWidth="1"/>
    <col min="6155" max="6398" width="9.109375" style="1"/>
    <col min="6399" max="6399" width="33.5546875" style="1" customWidth="1"/>
    <col min="6400" max="6400" width="17.88671875" style="1" customWidth="1"/>
    <col min="6401" max="6401" width="16.44140625" style="1" customWidth="1"/>
    <col min="6402" max="6402" width="13.33203125" style="1" customWidth="1"/>
    <col min="6403" max="6403" width="16.44140625" style="1" customWidth="1"/>
    <col min="6404" max="6404" width="15.44140625" style="1" customWidth="1"/>
    <col min="6405" max="6405" width="14.6640625" style="1" customWidth="1"/>
    <col min="6406" max="6406" width="19" style="1" customWidth="1"/>
    <col min="6407" max="6407" width="16.109375" style="1" customWidth="1"/>
    <col min="6408" max="6408" width="14.109375" style="1" customWidth="1"/>
    <col min="6409" max="6409" width="13.33203125" style="1" customWidth="1"/>
    <col min="6410" max="6410" width="13.44140625" style="1" customWidth="1"/>
    <col min="6411" max="6654" width="9.109375" style="1"/>
    <col min="6655" max="6655" width="33.5546875" style="1" customWidth="1"/>
    <col min="6656" max="6656" width="17.88671875" style="1" customWidth="1"/>
    <col min="6657" max="6657" width="16.44140625" style="1" customWidth="1"/>
    <col min="6658" max="6658" width="13.33203125" style="1" customWidth="1"/>
    <col min="6659" max="6659" width="16.44140625" style="1" customWidth="1"/>
    <col min="6660" max="6660" width="15.44140625" style="1" customWidth="1"/>
    <col min="6661" max="6661" width="14.6640625" style="1" customWidth="1"/>
    <col min="6662" max="6662" width="19" style="1" customWidth="1"/>
    <col min="6663" max="6663" width="16.109375" style="1" customWidth="1"/>
    <col min="6664" max="6664" width="14.109375" style="1" customWidth="1"/>
    <col min="6665" max="6665" width="13.33203125" style="1" customWidth="1"/>
    <col min="6666" max="6666" width="13.44140625" style="1" customWidth="1"/>
    <col min="6667" max="6910" width="9.109375" style="1"/>
    <col min="6911" max="6911" width="33.5546875" style="1" customWidth="1"/>
    <col min="6912" max="6912" width="17.88671875" style="1" customWidth="1"/>
    <col min="6913" max="6913" width="16.44140625" style="1" customWidth="1"/>
    <col min="6914" max="6914" width="13.33203125" style="1" customWidth="1"/>
    <col min="6915" max="6915" width="16.44140625" style="1" customWidth="1"/>
    <col min="6916" max="6916" width="15.44140625" style="1" customWidth="1"/>
    <col min="6917" max="6917" width="14.6640625" style="1" customWidth="1"/>
    <col min="6918" max="6918" width="19" style="1" customWidth="1"/>
    <col min="6919" max="6919" width="16.109375" style="1" customWidth="1"/>
    <col min="6920" max="6920" width="14.109375" style="1" customWidth="1"/>
    <col min="6921" max="6921" width="13.33203125" style="1" customWidth="1"/>
    <col min="6922" max="6922" width="13.44140625" style="1" customWidth="1"/>
    <col min="6923" max="7166" width="9.109375" style="1"/>
    <col min="7167" max="7167" width="33.5546875" style="1" customWidth="1"/>
    <col min="7168" max="7168" width="17.88671875" style="1" customWidth="1"/>
    <col min="7169" max="7169" width="16.44140625" style="1" customWidth="1"/>
    <col min="7170" max="7170" width="13.33203125" style="1" customWidth="1"/>
    <col min="7171" max="7171" width="16.44140625" style="1" customWidth="1"/>
    <col min="7172" max="7172" width="15.44140625" style="1" customWidth="1"/>
    <col min="7173" max="7173" width="14.6640625" style="1" customWidth="1"/>
    <col min="7174" max="7174" width="19" style="1" customWidth="1"/>
    <col min="7175" max="7175" width="16.109375" style="1" customWidth="1"/>
    <col min="7176" max="7176" width="14.109375" style="1" customWidth="1"/>
    <col min="7177" max="7177" width="13.33203125" style="1" customWidth="1"/>
    <col min="7178" max="7178" width="13.44140625" style="1" customWidth="1"/>
    <col min="7179" max="7422" width="9.109375" style="1"/>
    <col min="7423" max="7423" width="33.5546875" style="1" customWidth="1"/>
    <col min="7424" max="7424" width="17.88671875" style="1" customWidth="1"/>
    <col min="7425" max="7425" width="16.44140625" style="1" customWidth="1"/>
    <col min="7426" max="7426" width="13.33203125" style="1" customWidth="1"/>
    <col min="7427" max="7427" width="16.44140625" style="1" customWidth="1"/>
    <col min="7428" max="7428" width="15.44140625" style="1" customWidth="1"/>
    <col min="7429" max="7429" width="14.6640625" style="1" customWidth="1"/>
    <col min="7430" max="7430" width="19" style="1" customWidth="1"/>
    <col min="7431" max="7431" width="16.109375" style="1" customWidth="1"/>
    <col min="7432" max="7432" width="14.109375" style="1" customWidth="1"/>
    <col min="7433" max="7433" width="13.33203125" style="1" customWidth="1"/>
    <col min="7434" max="7434" width="13.44140625" style="1" customWidth="1"/>
    <col min="7435" max="7678" width="9.109375" style="1"/>
    <col min="7679" max="7679" width="33.5546875" style="1" customWidth="1"/>
    <col min="7680" max="7680" width="17.88671875" style="1" customWidth="1"/>
    <col min="7681" max="7681" width="16.44140625" style="1" customWidth="1"/>
    <col min="7682" max="7682" width="13.33203125" style="1" customWidth="1"/>
    <col min="7683" max="7683" width="16.44140625" style="1" customWidth="1"/>
    <col min="7684" max="7684" width="15.44140625" style="1" customWidth="1"/>
    <col min="7685" max="7685" width="14.6640625" style="1" customWidth="1"/>
    <col min="7686" max="7686" width="19" style="1" customWidth="1"/>
    <col min="7687" max="7687" width="16.109375" style="1" customWidth="1"/>
    <col min="7688" max="7688" width="14.109375" style="1" customWidth="1"/>
    <col min="7689" max="7689" width="13.33203125" style="1" customWidth="1"/>
    <col min="7690" max="7690" width="13.44140625" style="1" customWidth="1"/>
    <col min="7691" max="7934" width="9.109375" style="1"/>
    <col min="7935" max="7935" width="33.5546875" style="1" customWidth="1"/>
    <col min="7936" max="7936" width="17.88671875" style="1" customWidth="1"/>
    <col min="7937" max="7937" width="16.44140625" style="1" customWidth="1"/>
    <col min="7938" max="7938" width="13.33203125" style="1" customWidth="1"/>
    <col min="7939" max="7939" width="16.44140625" style="1" customWidth="1"/>
    <col min="7940" max="7940" width="15.44140625" style="1" customWidth="1"/>
    <col min="7941" max="7941" width="14.6640625" style="1" customWidth="1"/>
    <col min="7942" max="7942" width="19" style="1" customWidth="1"/>
    <col min="7943" max="7943" width="16.109375" style="1" customWidth="1"/>
    <col min="7944" max="7944" width="14.109375" style="1" customWidth="1"/>
    <col min="7945" max="7945" width="13.33203125" style="1" customWidth="1"/>
    <col min="7946" max="7946" width="13.44140625" style="1" customWidth="1"/>
    <col min="7947" max="8190" width="9.109375" style="1"/>
    <col min="8191" max="8191" width="33.5546875" style="1" customWidth="1"/>
    <col min="8192" max="8192" width="17.88671875" style="1" customWidth="1"/>
    <col min="8193" max="8193" width="16.44140625" style="1" customWidth="1"/>
    <col min="8194" max="8194" width="13.33203125" style="1" customWidth="1"/>
    <col min="8195" max="8195" width="16.44140625" style="1" customWidth="1"/>
    <col min="8196" max="8196" width="15.44140625" style="1" customWidth="1"/>
    <col min="8197" max="8197" width="14.6640625" style="1" customWidth="1"/>
    <col min="8198" max="8198" width="19" style="1" customWidth="1"/>
    <col min="8199" max="8199" width="16.109375" style="1" customWidth="1"/>
    <col min="8200" max="8200" width="14.109375" style="1" customWidth="1"/>
    <col min="8201" max="8201" width="13.33203125" style="1" customWidth="1"/>
    <col min="8202" max="8202" width="13.44140625" style="1" customWidth="1"/>
    <col min="8203" max="8446" width="9.109375" style="1"/>
    <col min="8447" max="8447" width="33.5546875" style="1" customWidth="1"/>
    <col min="8448" max="8448" width="17.88671875" style="1" customWidth="1"/>
    <col min="8449" max="8449" width="16.44140625" style="1" customWidth="1"/>
    <col min="8450" max="8450" width="13.33203125" style="1" customWidth="1"/>
    <col min="8451" max="8451" width="16.44140625" style="1" customWidth="1"/>
    <col min="8452" max="8452" width="15.44140625" style="1" customWidth="1"/>
    <col min="8453" max="8453" width="14.6640625" style="1" customWidth="1"/>
    <col min="8454" max="8454" width="19" style="1" customWidth="1"/>
    <col min="8455" max="8455" width="16.109375" style="1" customWidth="1"/>
    <col min="8456" max="8456" width="14.109375" style="1" customWidth="1"/>
    <col min="8457" max="8457" width="13.33203125" style="1" customWidth="1"/>
    <col min="8458" max="8458" width="13.44140625" style="1" customWidth="1"/>
    <col min="8459" max="8702" width="9.109375" style="1"/>
    <col min="8703" max="8703" width="33.5546875" style="1" customWidth="1"/>
    <col min="8704" max="8704" width="17.88671875" style="1" customWidth="1"/>
    <col min="8705" max="8705" width="16.44140625" style="1" customWidth="1"/>
    <col min="8706" max="8706" width="13.33203125" style="1" customWidth="1"/>
    <col min="8707" max="8707" width="16.44140625" style="1" customWidth="1"/>
    <col min="8708" max="8708" width="15.44140625" style="1" customWidth="1"/>
    <col min="8709" max="8709" width="14.6640625" style="1" customWidth="1"/>
    <col min="8710" max="8710" width="19" style="1" customWidth="1"/>
    <col min="8711" max="8711" width="16.109375" style="1" customWidth="1"/>
    <col min="8712" max="8712" width="14.109375" style="1" customWidth="1"/>
    <col min="8713" max="8713" width="13.33203125" style="1" customWidth="1"/>
    <col min="8714" max="8714" width="13.44140625" style="1" customWidth="1"/>
    <col min="8715" max="8958" width="9.109375" style="1"/>
    <col min="8959" max="8959" width="33.5546875" style="1" customWidth="1"/>
    <col min="8960" max="8960" width="17.88671875" style="1" customWidth="1"/>
    <col min="8961" max="8961" width="16.44140625" style="1" customWidth="1"/>
    <col min="8962" max="8962" width="13.33203125" style="1" customWidth="1"/>
    <col min="8963" max="8963" width="16.44140625" style="1" customWidth="1"/>
    <col min="8964" max="8964" width="15.44140625" style="1" customWidth="1"/>
    <col min="8965" max="8965" width="14.6640625" style="1" customWidth="1"/>
    <col min="8966" max="8966" width="19" style="1" customWidth="1"/>
    <col min="8967" max="8967" width="16.109375" style="1" customWidth="1"/>
    <col min="8968" max="8968" width="14.109375" style="1" customWidth="1"/>
    <col min="8969" max="8969" width="13.33203125" style="1" customWidth="1"/>
    <col min="8970" max="8970" width="13.44140625" style="1" customWidth="1"/>
    <col min="8971" max="9214" width="9.109375" style="1"/>
    <col min="9215" max="9215" width="33.5546875" style="1" customWidth="1"/>
    <col min="9216" max="9216" width="17.88671875" style="1" customWidth="1"/>
    <col min="9217" max="9217" width="16.44140625" style="1" customWidth="1"/>
    <col min="9218" max="9218" width="13.33203125" style="1" customWidth="1"/>
    <col min="9219" max="9219" width="16.44140625" style="1" customWidth="1"/>
    <col min="9220" max="9220" width="15.44140625" style="1" customWidth="1"/>
    <col min="9221" max="9221" width="14.6640625" style="1" customWidth="1"/>
    <col min="9222" max="9222" width="19" style="1" customWidth="1"/>
    <col min="9223" max="9223" width="16.109375" style="1" customWidth="1"/>
    <col min="9224" max="9224" width="14.109375" style="1" customWidth="1"/>
    <col min="9225" max="9225" width="13.33203125" style="1" customWidth="1"/>
    <col min="9226" max="9226" width="13.44140625" style="1" customWidth="1"/>
    <col min="9227" max="9470" width="9.109375" style="1"/>
    <col min="9471" max="9471" width="33.5546875" style="1" customWidth="1"/>
    <col min="9472" max="9472" width="17.88671875" style="1" customWidth="1"/>
    <col min="9473" max="9473" width="16.44140625" style="1" customWidth="1"/>
    <col min="9474" max="9474" width="13.33203125" style="1" customWidth="1"/>
    <col min="9475" max="9475" width="16.44140625" style="1" customWidth="1"/>
    <col min="9476" max="9476" width="15.44140625" style="1" customWidth="1"/>
    <col min="9477" max="9477" width="14.6640625" style="1" customWidth="1"/>
    <col min="9478" max="9478" width="19" style="1" customWidth="1"/>
    <col min="9479" max="9479" width="16.109375" style="1" customWidth="1"/>
    <col min="9480" max="9480" width="14.109375" style="1" customWidth="1"/>
    <col min="9481" max="9481" width="13.33203125" style="1" customWidth="1"/>
    <col min="9482" max="9482" width="13.44140625" style="1" customWidth="1"/>
    <col min="9483" max="9726" width="9.109375" style="1"/>
    <col min="9727" max="9727" width="33.5546875" style="1" customWidth="1"/>
    <col min="9728" max="9728" width="17.88671875" style="1" customWidth="1"/>
    <col min="9729" max="9729" width="16.44140625" style="1" customWidth="1"/>
    <col min="9730" max="9730" width="13.33203125" style="1" customWidth="1"/>
    <col min="9731" max="9731" width="16.44140625" style="1" customWidth="1"/>
    <col min="9732" max="9732" width="15.44140625" style="1" customWidth="1"/>
    <col min="9733" max="9733" width="14.6640625" style="1" customWidth="1"/>
    <col min="9734" max="9734" width="19" style="1" customWidth="1"/>
    <col min="9735" max="9735" width="16.109375" style="1" customWidth="1"/>
    <col min="9736" max="9736" width="14.109375" style="1" customWidth="1"/>
    <col min="9737" max="9737" width="13.33203125" style="1" customWidth="1"/>
    <col min="9738" max="9738" width="13.44140625" style="1" customWidth="1"/>
    <col min="9739" max="9982" width="9.109375" style="1"/>
    <col min="9983" max="9983" width="33.5546875" style="1" customWidth="1"/>
    <col min="9984" max="9984" width="17.88671875" style="1" customWidth="1"/>
    <col min="9985" max="9985" width="16.44140625" style="1" customWidth="1"/>
    <col min="9986" max="9986" width="13.33203125" style="1" customWidth="1"/>
    <col min="9987" max="9987" width="16.44140625" style="1" customWidth="1"/>
    <col min="9988" max="9988" width="15.44140625" style="1" customWidth="1"/>
    <col min="9989" max="9989" width="14.6640625" style="1" customWidth="1"/>
    <col min="9990" max="9990" width="19" style="1" customWidth="1"/>
    <col min="9991" max="9991" width="16.109375" style="1" customWidth="1"/>
    <col min="9992" max="9992" width="14.109375" style="1" customWidth="1"/>
    <col min="9993" max="9993" width="13.33203125" style="1" customWidth="1"/>
    <col min="9994" max="9994" width="13.44140625" style="1" customWidth="1"/>
    <col min="9995" max="10238" width="9.109375" style="1"/>
    <col min="10239" max="10239" width="33.5546875" style="1" customWidth="1"/>
    <col min="10240" max="10240" width="17.88671875" style="1" customWidth="1"/>
    <col min="10241" max="10241" width="16.44140625" style="1" customWidth="1"/>
    <col min="10242" max="10242" width="13.33203125" style="1" customWidth="1"/>
    <col min="10243" max="10243" width="16.44140625" style="1" customWidth="1"/>
    <col min="10244" max="10244" width="15.44140625" style="1" customWidth="1"/>
    <col min="10245" max="10245" width="14.6640625" style="1" customWidth="1"/>
    <col min="10246" max="10246" width="19" style="1" customWidth="1"/>
    <col min="10247" max="10247" width="16.109375" style="1" customWidth="1"/>
    <col min="10248" max="10248" width="14.109375" style="1" customWidth="1"/>
    <col min="10249" max="10249" width="13.33203125" style="1" customWidth="1"/>
    <col min="10250" max="10250" width="13.44140625" style="1" customWidth="1"/>
    <col min="10251" max="10494" width="9.109375" style="1"/>
    <col min="10495" max="10495" width="33.5546875" style="1" customWidth="1"/>
    <col min="10496" max="10496" width="17.88671875" style="1" customWidth="1"/>
    <col min="10497" max="10497" width="16.44140625" style="1" customWidth="1"/>
    <col min="10498" max="10498" width="13.33203125" style="1" customWidth="1"/>
    <col min="10499" max="10499" width="16.44140625" style="1" customWidth="1"/>
    <col min="10500" max="10500" width="15.44140625" style="1" customWidth="1"/>
    <col min="10501" max="10501" width="14.6640625" style="1" customWidth="1"/>
    <col min="10502" max="10502" width="19" style="1" customWidth="1"/>
    <col min="10503" max="10503" width="16.109375" style="1" customWidth="1"/>
    <col min="10504" max="10504" width="14.109375" style="1" customWidth="1"/>
    <col min="10505" max="10505" width="13.33203125" style="1" customWidth="1"/>
    <col min="10506" max="10506" width="13.44140625" style="1" customWidth="1"/>
    <col min="10507" max="10750" width="9.109375" style="1"/>
    <col min="10751" max="10751" width="33.5546875" style="1" customWidth="1"/>
    <col min="10752" max="10752" width="17.88671875" style="1" customWidth="1"/>
    <col min="10753" max="10753" width="16.44140625" style="1" customWidth="1"/>
    <col min="10754" max="10754" width="13.33203125" style="1" customWidth="1"/>
    <col min="10755" max="10755" width="16.44140625" style="1" customWidth="1"/>
    <col min="10756" max="10756" width="15.44140625" style="1" customWidth="1"/>
    <col min="10757" max="10757" width="14.6640625" style="1" customWidth="1"/>
    <col min="10758" max="10758" width="19" style="1" customWidth="1"/>
    <col min="10759" max="10759" width="16.109375" style="1" customWidth="1"/>
    <col min="10760" max="10760" width="14.109375" style="1" customWidth="1"/>
    <col min="10761" max="10761" width="13.33203125" style="1" customWidth="1"/>
    <col min="10762" max="10762" width="13.44140625" style="1" customWidth="1"/>
    <col min="10763" max="11006" width="9.109375" style="1"/>
    <col min="11007" max="11007" width="33.5546875" style="1" customWidth="1"/>
    <col min="11008" max="11008" width="17.88671875" style="1" customWidth="1"/>
    <col min="11009" max="11009" width="16.44140625" style="1" customWidth="1"/>
    <col min="11010" max="11010" width="13.33203125" style="1" customWidth="1"/>
    <col min="11011" max="11011" width="16.44140625" style="1" customWidth="1"/>
    <col min="11012" max="11012" width="15.44140625" style="1" customWidth="1"/>
    <col min="11013" max="11013" width="14.6640625" style="1" customWidth="1"/>
    <col min="11014" max="11014" width="19" style="1" customWidth="1"/>
    <col min="11015" max="11015" width="16.109375" style="1" customWidth="1"/>
    <col min="11016" max="11016" width="14.109375" style="1" customWidth="1"/>
    <col min="11017" max="11017" width="13.33203125" style="1" customWidth="1"/>
    <col min="11018" max="11018" width="13.44140625" style="1" customWidth="1"/>
    <col min="11019" max="11262" width="9.109375" style="1"/>
    <col min="11263" max="11263" width="33.5546875" style="1" customWidth="1"/>
    <col min="11264" max="11264" width="17.88671875" style="1" customWidth="1"/>
    <col min="11265" max="11265" width="16.44140625" style="1" customWidth="1"/>
    <col min="11266" max="11266" width="13.33203125" style="1" customWidth="1"/>
    <col min="11267" max="11267" width="16.44140625" style="1" customWidth="1"/>
    <col min="11268" max="11268" width="15.44140625" style="1" customWidth="1"/>
    <col min="11269" max="11269" width="14.6640625" style="1" customWidth="1"/>
    <col min="11270" max="11270" width="19" style="1" customWidth="1"/>
    <col min="11271" max="11271" width="16.109375" style="1" customWidth="1"/>
    <col min="11272" max="11272" width="14.109375" style="1" customWidth="1"/>
    <col min="11273" max="11273" width="13.33203125" style="1" customWidth="1"/>
    <col min="11274" max="11274" width="13.44140625" style="1" customWidth="1"/>
    <col min="11275" max="11518" width="9.109375" style="1"/>
    <col min="11519" max="11519" width="33.5546875" style="1" customWidth="1"/>
    <col min="11520" max="11520" width="17.88671875" style="1" customWidth="1"/>
    <col min="11521" max="11521" width="16.44140625" style="1" customWidth="1"/>
    <col min="11522" max="11522" width="13.33203125" style="1" customWidth="1"/>
    <col min="11523" max="11523" width="16.44140625" style="1" customWidth="1"/>
    <col min="11524" max="11524" width="15.44140625" style="1" customWidth="1"/>
    <col min="11525" max="11525" width="14.6640625" style="1" customWidth="1"/>
    <col min="11526" max="11526" width="19" style="1" customWidth="1"/>
    <col min="11527" max="11527" width="16.109375" style="1" customWidth="1"/>
    <col min="11528" max="11528" width="14.109375" style="1" customWidth="1"/>
    <col min="11529" max="11529" width="13.33203125" style="1" customWidth="1"/>
    <col min="11530" max="11530" width="13.44140625" style="1" customWidth="1"/>
    <col min="11531" max="11774" width="9.109375" style="1"/>
    <col min="11775" max="11775" width="33.5546875" style="1" customWidth="1"/>
    <col min="11776" max="11776" width="17.88671875" style="1" customWidth="1"/>
    <col min="11777" max="11777" width="16.44140625" style="1" customWidth="1"/>
    <col min="11778" max="11778" width="13.33203125" style="1" customWidth="1"/>
    <col min="11779" max="11779" width="16.44140625" style="1" customWidth="1"/>
    <col min="11780" max="11780" width="15.44140625" style="1" customWidth="1"/>
    <col min="11781" max="11781" width="14.6640625" style="1" customWidth="1"/>
    <col min="11782" max="11782" width="19" style="1" customWidth="1"/>
    <col min="11783" max="11783" width="16.109375" style="1" customWidth="1"/>
    <col min="11784" max="11784" width="14.109375" style="1" customWidth="1"/>
    <col min="11785" max="11785" width="13.33203125" style="1" customWidth="1"/>
    <col min="11786" max="11786" width="13.44140625" style="1" customWidth="1"/>
    <col min="11787" max="12030" width="9.109375" style="1"/>
    <col min="12031" max="12031" width="33.5546875" style="1" customWidth="1"/>
    <col min="12032" max="12032" width="17.88671875" style="1" customWidth="1"/>
    <col min="12033" max="12033" width="16.44140625" style="1" customWidth="1"/>
    <col min="12034" max="12034" width="13.33203125" style="1" customWidth="1"/>
    <col min="12035" max="12035" width="16.44140625" style="1" customWidth="1"/>
    <col min="12036" max="12036" width="15.44140625" style="1" customWidth="1"/>
    <col min="12037" max="12037" width="14.6640625" style="1" customWidth="1"/>
    <col min="12038" max="12038" width="19" style="1" customWidth="1"/>
    <col min="12039" max="12039" width="16.109375" style="1" customWidth="1"/>
    <col min="12040" max="12040" width="14.109375" style="1" customWidth="1"/>
    <col min="12041" max="12041" width="13.33203125" style="1" customWidth="1"/>
    <col min="12042" max="12042" width="13.44140625" style="1" customWidth="1"/>
    <col min="12043" max="12286" width="9.109375" style="1"/>
    <col min="12287" max="12287" width="33.5546875" style="1" customWidth="1"/>
    <col min="12288" max="12288" width="17.88671875" style="1" customWidth="1"/>
    <col min="12289" max="12289" width="16.44140625" style="1" customWidth="1"/>
    <col min="12290" max="12290" width="13.33203125" style="1" customWidth="1"/>
    <col min="12291" max="12291" width="16.44140625" style="1" customWidth="1"/>
    <col min="12292" max="12292" width="15.44140625" style="1" customWidth="1"/>
    <col min="12293" max="12293" width="14.6640625" style="1" customWidth="1"/>
    <col min="12294" max="12294" width="19" style="1" customWidth="1"/>
    <col min="12295" max="12295" width="16.109375" style="1" customWidth="1"/>
    <col min="12296" max="12296" width="14.109375" style="1" customWidth="1"/>
    <col min="12297" max="12297" width="13.33203125" style="1" customWidth="1"/>
    <col min="12298" max="12298" width="13.44140625" style="1" customWidth="1"/>
    <col min="12299" max="12542" width="9.109375" style="1"/>
    <col min="12543" max="12543" width="33.5546875" style="1" customWidth="1"/>
    <col min="12544" max="12544" width="17.88671875" style="1" customWidth="1"/>
    <col min="12545" max="12545" width="16.44140625" style="1" customWidth="1"/>
    <col min="12546" max="12546" width="13.33203125" style="1" customWidth="1"/>
    <col min="12547" max="12547" width="16.44140625" style="1" customWidth="1"/>
    <col min="12548" max="12548" width="15.44140625" style="1" customWidth="1"/>
    <col min="12549" max="12549" width="14.6640625" style="1" customWidth="1"/>
    <col min="12550" max="12550" width="19" style="1" customWidth="1"/>
    <col min="12551" max="12551" width="16.109375" style="1" customWidth="1"/>
    <col min="12552" max="12552" width="14.109375" style="1" customWidth="1"/>
    <col min="12553" max="12553" width="13.33203125" style="1" customWidth="1"/>
    <col min="12554" max="12554" width="13.44140625" style="1" customWidth="1"/>
    <col min="12555" max="12798" width="9.109375" style="1"/>
    <col min="12799" max="12799" width="33.5546875" style="1" customWidth="1"/>
    <col min="12800" max="12800" width="17.88671875" style="1" customWidth="1"/>
    <col min="12801" max="12801" width="16.44140625" style="1" customWidth="1"/>
    <col min="12802" max="12802" width="13.33203125" style="1" customWidth="1"/>
    <col min="12803" max="12803" width="16.44140625" style="1" customWidth="1"/>
    <col min="12804" max="12804" width="15.44140625" style="1" customWidth="1"/>
    <col min="12805" max="12805" width="14.6640625" style="1" customWidth="1"/>
    <col min="12806" max="12806" width="19" style="1" customWidth="1"/>
    <col min="12807" max="12807" width="16.109375" style="1" customWidth="1"/>
    <col min="12808" max="12808" width="14.109375" style="1" customWidth="1"/>
    <col min="12809" max="12809" width="13.33203125" style="1" customWidth="1"/>
    <col min="12810" max="12810" width="13.44140625" style="1" customWidth="1"/>
    <col min="12811" max="13054" width="9.109375" style="1"/>
    <col min="13055" max="13055" width="33.5546875" style="1" customWidth="1"/>
    <col min="13056" max="13056" width="17.88671875" style="1" customWidth="1"/>
    <col min="13057" max="13057" width="16.44140625" style="1" customWidth="1"/>
    <col min="13058" max="13058" width="13.33203125" style="1" customWidth="1"/>
    <col min="13059" max="13059" width="16.44140625" style="1" customWidth="1"/>
    <col min="13060" max="13060" width="15.44140625" style="1" customWidth="1"/>
    <col min="13061" max="13061" width="14.6640625" style="1" customWidth="1"/>
    <col min="13062" max="13062" width="19" style="1" customWidth="1"/>
    <col min="13063" max="13063" width="16.109375" style="1" customWidth="1"/>
    <col min="13064" max="13064" width="14.109375" style="1" customWidth="1"/>
    <col min="13065" max="13065" width="13.33203125" style="1" customWidth="1"/>
    <col min="13066" max="13066" width="13.44140625" style="1" customWidth="1"/>
    <col min="13067" max="13310" width="9.109375" style="1"/>
    <col min="13311" max="13311" width="33.5546875" style="1" customWidth="1"/>
    <col min="13312" max="13312" width="17.88671875" style="1" customWidth="1"/>
    <col min="13313" max="13313" width="16.44140625" style="1" customWidth="1"/>
    <col min="13314" max="13314" width="13.33203125" style="1" customWidth="1"/>
    <col min="13315" max="13315" width="16.44140625" style="1" customWidth="1"/>
    <col min="13316" max="13316" width="15.44140625" style="1" customWidth="1"/>
    <col min="13317" max="13317" width="14.6640625" style="1" customWidth="1"/>
    <col min="13318" max="13318" width="19" style="1" customWidth="1"/>
    <col min="13319" max="13319" width="16.109375" style="1" customWidth="1"/>
    <col min="13320" max="13320" width="14.109375" style="1" customWidth="1"/>
    <col min="13321" max="13321" width="13.33203125" style="1" customWidth="1"/>
    <col min="13322" max="13322" width="13.44140625" style="1" customWidth="1"/>
    <col min="13323" max="13566" width="9.109375" style="1"/>
    <col min="13567" max="13567" width="33.5546875" style="1" customWidth="1"/>
    <col min="13568" max="13568" width="17.88671875" style="1" customWidth="1"/>
    <col min="13569" max="13569" width="16.44140625" style="1" customWidth="1"/>
    <col min="13570" max="13570" width="13.33203125" style="1" customWidth="1"/>
    <col min="13571" max="13571" width="16.44140625" style="1" customWidth="1"/>
    <col min="13572" max="13572" width="15.44140625" style="1" customWidth="1"/>
    <col min="13573" max="13573" width="14.6640625" style="1" customWidth="1"/>
    <col min="13574" max="13574" width="19" style="1" customWidth="1"/>
    <col min="13575" max="13575" width="16.109375" style="1" customWidth="1"/>
    <col min="13576" max="13576" width="14.109375" style="1" customWidth="1"/>
    <col min="13577" max="13577" width="13.33203125" style="1" customWidth="1"/>
    <col min="13578" max="13578" width="13.44140625" style="1" customWidth="1"/>
    <col min="13579" max="13822" width="9.109375" style="1"/>
    <col min="13823" max="13823" width="33.5546875" style="1" customWidth="1"/>
    <col min="13824" max="13824" width="17.88671875" style="1" customWidth="1"/>
    <col min="13825" max="13825" width="16.44140625" style="1" customWidth="1"/>
    <col min="13826" max="13826" width="13.33203125" style="1" customWidth="1"/>
    <col min="13827" max="13827" width="16.44140625" style="1" customWidth="1"/>
    <col min="13828" max="13828" width="15.44140625" style="1" customWidth="1"/>
    <col min="13829" max="13829" width="14.6640625" style="1" customWidth="1"/>
    <col min="13830" max="13830" width="19" style="1" customWidth="1"/>
    <col min="13831" max="13831" width="16.109375" style="1" customWidth="1"/>
    <col min="13832" max="13832" width="14.109375" style="1" customWidth="1"/>
    <col min="13833" max="13833" width="13.33203125" style="1" customWidth="1"/>
    <col min="13834" max="13834" width="13.44140625" style="1" customWidth="1"/>
    <col min="13835" max="14078" width="9.109375" style="1"/>
    <col min="14079" max="14079" width="33.5546875" style="1" customWidth="1"/>
    <col min="14080" max="14080" width="17.88671875" style="1" customWidth="1"/>
    <col min="14081" max="14081" width="16.44140625" style="1" customWidth="1"/>
    <col min="14082" max="14082" width="13.33203125" style="1" customWidth="1"/>
    <col min="14083" max="14083" width="16.44140625" style="1" customWidth="1"/>
    <col min="14084" max="14084" width="15.44140625" style="1" customWidth="1"/>
    <col min="14085" max="14085" width="14.6640625" style="1" customWidth="1"/>
    <col min="14086" max="14086" width="19" style="1" customWidth="1"/>
    <col min="14087" max="14087" width="16.109375" style="1" customWidth="1"/>
    <col min="14088" max="14088" width="14.109375" style="1" customWidth="1"/>
    <col min="14089" max="14089" width="13.33203125" style="1" customWidth="1"/>
    <col min="14090" max="14090" width="13.44140625" style="1" customWidth="1"/>
    <col min="14091" max="14334" width="9.109375" style="1"/>
    <col min="14335" max="14335" width="33.5546875" style="1" customWidth="1"/>
    <col min="14336" max="14336" width="17.88671875" style="1" customWidth="1"/>
    <col min="14337" max="14337" width="16.44140625" style="1" customWidth="1"/>
    <col min="14338" max="14338" width="13.33203125" style="1" customWidth="1"/>
    <col min="14339" max="14339" width="16.44140625" style="1" customWidth="1"/>
    <col min="14340" max="14340" width="15.44140625" style="1" customWidth="1"/>
    <col min="14341" max="14341" width="14.6640625" style="1" customWidth="1"/>
    <col min="14342" max="14342" width="19" style="1" customWidth="1"/>
    <col min="14343" max="14343" width="16.109375" style="1" customWidth="1"/>
    <col min="14344" max="14344" width="14.109375" style="1" customWidth="1"/>
    <col min="14345" max="14345" width="13.33203125" style="1" customWidth="1"/>
    <col min="14346" max="14346" width="13.44140625" style="1" customWidth="1"/>
    <col min="14347" max="14590" width="9.109375" style="1"/>
    <col min="14591" max="14591" width="33.5546875" style="1" customWidth="1"/>
    <col min="14592" max="14592" width="17.88671875" style="1" customWidth="1"/>
    <col min="14593" max="14593" width="16.44140625" style="1" customWidth="1"/>
    <col min="14594" max="14594" width="13.33203125" style="1" customWidth="1"/>
    <col min="14595" max="14595" width="16.44140625" style="1" customWidth="1"/>
    <col min="14596" max="14596" width="15.44140625" style="1" customWidth="1"/>
    <col min="14597" max="14597" width="14.6640625" style="1" customWidth="1"/>
    <col min="14598" max="14598" width="19" style="1" customWidth="1"/>
    <col min="14599" max="14599" width="16.109375" style="1" customWidth="1"/>
    <col min="14600" max="14600" width="14.109375" style="1" customWidth="1"/>
    <col min="14601" max="14601" width="13.33203125" style="1" customWidth="1"/>
    <col min="14602" max="14602" width="13.44140625" style="1" customWidth="1"/>
    <col min="14603" max="14846" width="9.109375" style="1"/>
    <col min="14847" max="14847" width="33.5546875" style="1" customWidth="1"/>
    <col min="14848" max="14848" width="17.88671875" style="1" customWidth="1"/>
    <col min="14849" max="14849" width="16.44140625" style="1" customWidth="1"/>
    <col min="14850" max="14850" width="13.33203125" style="1" customWidth="1"/>
    <col min="14851" max="14851" width="16.44140625" style="1" customWidth="1"/>
    <col min="14852" max="14852" width="15.44140625" style="1" customWidth="1"/>
    <col min="14853" max="14853" width="14.6640625" style="1" customWidth="1"/>
    <col min="14854" max="14854" width="19" style="1" customWidth="1"/>
    <col min="14855" max="14855" width="16.109375" style="1" customWidth="1"/>
    <col min="14856" max="14856" width="14.109375" style="1" customWidth="1"/>
    <col min="14857" max="14857" width="13.33203125" style="1" customWidth="1"/>
    <col min="14858" max="14858" width="13.44140625" style="1" customWidth="1"/>
    <col min="14859" max="15102" width="9.109375" style="1"/>
    <col min="15103" max="15103" width="33.5546875" style="1" customWidth="1"/>
    <col min="15104" max="15104" width="17.88671875" style="1" customWidth="1"/>
    <col min="15105" max="15105" width="16.44140625" style="1" customWidth="1"/>
    <col min="15106" max="15106" width="13.33203125" style="1" customWidth="1"/>
    <col min="15107" max="15107" width="16.44140625" style="1" customWidth="1"/>
    <col min="15108" max="15108" width="15.44140625" style="1" customWidth="1"/>
    <col min="15109" max="15109" width="14.6640625" style="1" customWidth="1"/>
    <col min="15110" max="15110" width="19" style="1" customWidth="1"/>
    <col min="15111" max="15111" width="16.109375" style="1" customWidth="1"/>
    <col min="15112" max="15112" width="14.109375" style="1" customWidth="1"/>
    <col min="15113" max="15113" width="13.33203125" style="1" customWidth="1"/>
    <col min="15114" max="15114" width="13.44140625" style="1" customWidth="1"/>
    <col min="15115" max="15358" width="9.109375" style="1"/>
    <col min="15359" max="15359" width="33.5546875" style="1" customWidth="1"/>
    <col min="15360" max="15360" width="17.88671875" style="1" customWidth="1"/>
    <col min="15361" max="15361" width="16.44140625" style="1" customWidth="1"/>
    <col min="15362" max="15362" width="13.33203125" style="1" customWidth="1"/>
    <col min="15363" max="15363" width="16.44140625" style="1" customWidth="1"/>
    <col min="15364" max="15364" width="15.44140625" style="1" customWidth="1"/>
    <col min="15365" max="15365" width="14.6640625" style="1" customWidth="1"/>
    <col min="15366" max="15366" width="19" style="1" customWidth="1"/>
    <col min="15367" max="15367" width="16.109375" style="1" customWidth="1"/>
    <col min="15368" max="15368" width="14.109375" style="1" customWidth="1"/>
    <col min="15369" max="15369" width="13.33203125" style="1" customWidth="1"/>
    <col min="15370" max="15370" width="13.44140625" style="1" customWidth="1"/>
    <col min="15371" max="15614" width="9.109375" style="1"/>
    <col min="15615" max="15615" width="33.5546875" style="1" customWidth="1"/>
    <col min="15616" max="15616" width="17.88671875" style="1" customWidth="1"/>
    <col min="15617" max="15617" width="16.44140625" style="1" customWidth="1"/>
    <col min="15618" max="15618" width="13.33203125" style="1" customWidth="1"/>
    <col min="15619" max="15619" width="16.44140625" style="1" customWidth="1"/>
    <col min="15620" max="15620" width="15.44140625" style="1" customWidth="1"/>
    <col min="15621" max="15621" width="14.6640625" style="1" customWidth="1"/>
    <col min="15622" max="15622" width="19" style="1" customWidth="1"/>
    <col min="15623" max="15623" width="16.109375" style="1" customWidth="1"/>
    <col min="15624" max="15624" width="14.109375" style="1" customWidth="1"/>
    <col min="15625" max="15625" width="13.33203125" style="1" customWidth="1"/>
    <col min="15626" max="15626" width="13.44140625" style="1" customWidth="1"/>
    <col min="15627" max="15870" width="9.109375" style="1"/>
    <col min="15871" max="15871" width="33.5546875" style="1" customWidth="1"/>
    <col min="15872" max="15872" width="17.88671875" style="1" customWidth="1"/>
    <col min="15873" max="15873" width="16.44140625" style="1" customWidth="1"/>
    <col min="15874" max="15874" width="13.33203125" style="1" customWidth="1"/>
    <col min="15875" max="15875" width="16.44140625" style="1" customWidth="1"/>
    <col min="15876" max="15876" width="15.44140625" style="1" customWidth="1"/>
    <col min="15877" max="15877" width="14.6640625" style="1" customWidth="1"/>
    <col min="15878" max="15878" width="19" style="1" customWidth="1"/>
    <col min="15879" max="15879" width="16.109375" style="1" customWidth="1"/>
    <col min="15880" max="15880" width="14.109375" style="1" customWidth="1"/>
    <col min="15881" max="15881" width="13.33203125" style="1" customWidth="1"/>
    <col min="15882" max="15882" width="13.44140625" style="1" customWidth="1"/>
    <col min="15883" max="16126" width="9.109375" style="1"/>
    <col min="16127" max="16127" width="33.5546875" style="1" customWidth="1"/>
    <col min="16128" max="16128" width="17.88671875" style="1" customWidth="1"/>
    <col min="16129" max="16129" width="16.44140625" style="1" customWidth="1"/>
    <col min="16130" max="16130" width="13.33203125" style="1" customWidth="1"/>
    <col min="16131" max="16131" width="16.44140625" style="1" customWidth="1"/>
    <col min="16132" max="16132" width="15.44140625" style="1" customWidth="1"/>
    <col min="16133" max="16133" width="14.6640625" style="1" customWidth="1"/>
    <col min="16134" max="16134" width="19" style="1" customWidth="1"/>
    <col min="16135" max="16135" width="16.109375" style="1" customWidth="1"/>
    <col min="16136" max="16136" width="14.109375" style="1" customWidth="1"/>
    <col min="16137" max="16137" width="13.33203125" style="1" customWidth="1"/>
    <col min="16138" max="16138" width="13.44140625" style="1" customWidth="1"/>
    <col min="16139" max="16384" width="9.109375" style="1"/>
  </cols>
  <sheetData>
    <row r="1" spans="1:13" ht="15.6" x14ac:dyDescent="0.3">
      <c r="L1" s="91" t="s">
        <v>90</v>
      </c>
      <c r="M1" s="91"/>
    </row>
    <row r="2" spans="1:13" ht="15.6" x14ac:dyDescent="0.3">
      <c r="L2" s="18" t="s">
        <v>81</v>
      </c>
      <c r="M2" s="18"/>
    </row>
    <row r="3" spans="1:13" ht="15.6" x14ac:dyDescent="0.3">
      <c r="L3" s="18" t="s">
        <v>89</v>
      </c>
      <c r="M3" s="18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399999999999999" x14ac:dyDescent="0.25">
      <c r="B5" s="85" t="s">
        <v>74</v>
      </c>
      <c r="C5" s="85"/>
      <c r="D5" s="85"/>
      <c r="E5" s="85"/>
      <c r="F5" s="85"/>
      <c r="G5" s="85"/>
      <c r="H5" s="85"/>
      <c r="I5" s="85"/>
      <c r="J5" s="85"/>
      <c r="K5" s="85"/>
      <c r="M5" s="48"/>
    </row>
    <row r="6" spans="1:13" ht="36.75" customHeight="1" x14ac:dyDescent="0.25">
      <c r="B6" s="86" t="s">
        <v>52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38" x14ac:dyDescent="0.25">
      <c r="A7" s="19" t="s">
        <v>1</v>
      </c>
      <c r="B7" s="19" t="s">
        <v>2</v>
      </c>
      <c r="C7" s="19" t="s">
        <v>66</v>
      </c>
      <c r="D7" s="19" t="s">
        <v>67</v>
      </c>
      <c r="E7" s="19" t="s">
        <v>3</v>
      </c>
      <c r="F7" s="19" t="s">
        <v>68</v>
      </c>
      <c r="G7" s="19" t="s">
        <v>69</v>
      </c>
      <c r="H7" s="19" t="s">
        <v>4</v>
      </c>
      <c r="I7" s="19" t="s">
        <v>5</v>
      </c>
      <c r="J7" s="19" t="s">
        <v>70</v>
      </c>
      <c r="K7" s="19" t="s">
        <v>71</v>
      </c>
      <c r="L7" s="19" t="s">
        <v>76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>
        <v>11</v>
      </c>
    </row>
    <row r="9" spans="1:13" ht="36" x14ac:dyDescent="0.25">
      <c r="A9" s="69">
        <v>1</v>
      </c>
      <c r="B9" s="28" t="s">
        <v>8</v>
      </c>
      <c r="C9" s="3">
        <v>34.04</v>
      </c>
      <c r="D9" s="3">
        <v>46.81</v>
      </c>
      <c r="E9" s="72" t="s">
        <v>9</v>
      </c>
      <c r="F9" s="80">
        <v>4.7</v>
      </c>
      <c r="G9" s="80">
        <v>4.7</v>
      </c>
      <c r="H9" s="3" t="s">
        <v>10</v>
      </c>
      <c r="I9" s="3">
        <f>G9-F9</f>
        <v>0</v>
      </c>
      <c r="J9" s="39">
        <f>C9*F9*46</f>
        <v>7359.4480000000003</v>
      </c>
      <c r="K9" s="39">
        <f>D9*G9*46</f>
        <v>10120.322</v>
      </c>
      <c r="L9" s="76">
        <f>(K9+K10)/(J9+J10)*100</f>
        <v>137.51468860164513</v>
      </c>
      <c r="M9" s="40">
        <f>G9/F9*100</f>
        <v>100</v>
      </c>
    </row>
    <row r="10" spans="1:13" ht="36" x14ac:dyDescent="0.25">
      <c r="A10" s="70"/>
      <c r="B10" s="28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f>C10*4013.67/12</f>
        <v>11385.4439</v>
      </c>
      <c r="K10" s="39">
        <f>D10*4013.67/12</f>
        <v>15656.657725000003</v>
      </c>
      <c r="L10" s="77"/>
      <c r="M10" s="40"/>
    </row>
    <row r="11" spans="1:13" ht="18" x14ac:dyDescent="0.25">
      <c r="A11" s="71"/>
      <c r="B11" s="28" t="s">
        <v>39</v>
      </c>
      <c r="C11" s="3">
        <v>34.04</v>
      </c>
      <c r="D11" s="3">
        <v>46.81</v>
      </c>
      <c r="E11" s="73"/>
      <c r="F11" s="20">
        <v>0</v>
      </c>
      <c r="G11" s="20">
        <v>0</v>
      </c>
      <c r="H11" s="3"/>
      <c r="I11" s="3">
        <f>G11-F11</f>
        <v>0</v>
      </c>
      <c r="J11" s="39">
        <v>0</v>
      </c>
      <c r="K11" s="39">
        <v>0</v>
      </c>
      <c r="L11" s="4">
        <v>0</v>
      </c>
      <c r="M11" s="40"/>
    </row>
    <row r="12" spans="1:13" ht="36" x14ac:dyDescent="0.25">
      <c r="A12" s="69">
        <v>2</v>
      </c>
      <c r="B12" s="28" t="s">
        <v>15</v>
      </c>
      <c r="C12" s="3">
        <v>129.56</v>
      </c>
      <c r="D12" s="3">
        <v>155.9</v>
      </c>
      <c r="E12" s="72" t="s">
        <v>9</v>
      </c>
      <c r="F12" s="74">
        <v>2.9</v>
      </c>
      <c r="G12" s="83">
        <v>2.9</v>
      </c>
      <c r="H12" s="3" t="s">
        <v>10</v>
      </c>
      <c r="I12" s="3">
        <f>G12-F12</f>
        <v>0</v>
      </c>
      <c r="J12" s="39">
        <f>C12*F12*36</f>
        <v>13526.064</v>
      </c>
      <c r="K12" s="39">
        <f>D12*G12*36</f>
        <v>16275.960000000001</v>
      </c>
      <c r="L12" s="76">
        <f>(K12+K13)/(J12+J13)*100</f>
        <v>120.33034887310899</v>
      </c>
      <c r="M12" s="40">
        <f t="shared" ref="M12:M19" si="0">G12/F12*100</f>
        <v>100</v>
      </c>
    </row>
    <row r="13" spans="1:13" ht="36" x14ac:dyDescent="0.25">
      <c r="A13" s="70"/>
      <c r="B13" s="28" t="s">
        <v>16</v>
      </c>
      <c r="C13" s="3">
        <v>129.56</v>
      </c>
      <c r="D13" s="3">
        <v>155.9</v>
      </c>
      <c r="E13" s="73"/>
      <c r="F13" s="75"/>
      <c r="G13" s="84"/>
      <c r="H13" s="3" t="s">
        <v>35</v>
      </c>
      <c r="I13" s="3">
        <v>0</v>
      </c>
      <c r="J13" s="39">
        <f>C13*2501.02/12</f>
        <v>27002.67926666667</v>
      </c>
      <c r="K13" s="39">
        <f>D13*2501.02/12</f>
        <v>32492.41816666667</v>
      </c>
      <c r="L13" s="77"/>
      <c r="M13" s="40"/>
    </row>
    <row r="14" spans="1:13" ht="18" x14ac:dyDescent="0.25">
      <c r="A14" s="71"/>
      <c r="B14" s="28" t="s">
        <v>40</v>
      </c>
      <c r="C14" s="3">
        <v>129.56</v>
      </c>
      <c r="D14" s="3">
        <v>155.9</v>
      </c>
      <c r="E14" s="29"/>
      <c r="F14" s="21"/>
      <c r="G14" s="21"/>
      <c r="H14" s="3"/>
      <c r="I14" s="3"/>
      <c r="J14" s="39">
        <v>0</v>
      </c>
      <c r="K14" s="39">
        <v>0</v>
      </c>
      <c r="L14" s="30">
        <v>0</v>
      </c>
      <c r="M14" s="40"/>
    </row>
    <row r="15" spans="1:13" ht="36" x14ac:dyDescent="0.25">
      <c r="A15" s="69">
        <v>3</v>
      </c>
      <c r="B15" s="28" t="s">
        <v>17</v>
      </c>
      <c r="C15" s="3">
        <v>34.159999999999997</v>
      </c>
      <c r="D15" s="3">
        <v>46.54</v>
      </c>
      <c r="E15" s="72" t="s">
        <v>9</v>
      </c>
      <c r="F15" s="80" t="s">
        <v>47</v>
      </c>
      <c r="G15" s="80" t="s">
        <v>47</v>
      </c>
      <c r="H15" s="3" t="s">
        <v>10</v>
      </c>
      <c r="I15" s="3">
        <v>0</v>
      </c>
      <c r="J15" s="39">
        <v>0</v>
      </c>
      <c r="K15" s="39">
        <v>0</v>
      </c>
      <c r="L15" s="76"/>
      <c r="M15" s="40"/>
    </row>
    <row r="16" spans="1:13" ht="18" x14ac:dyDescent="0.25">
      <c r="A16" s="71"/>
      <c r="B16" s="28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/>
      <c r="K16" s="39"/>
      <c r="L16" s="77"/>
      <c r="M16" s="40"/>
    </row>
    <row r="17" spans="1:13" ht="36" x14ac:dyDescent="0.25">
      <c r="A17" s="69">
        <v>4</v>
      </c>
      <c r="B17" s="28" t="s">
        <v>19</v>
      </c>
      <c r="C17" s="3">
        <v>1347.49</v>
      </c>
      <c r="D17" s="3">
        <v>1517.3</v>
      </c>
      <c r="E17" s="72" t="s">
        <v>20</v>
      </c>
      <c r="F17" s="80">
        <v>4.1700000000000001E-2</v>
      </c>
      <c r="G17" s="80">
        <v>4.1700000000000001E-2</v>
      </c>
      <c r="H17" s="3" t="s">
        <v>21</v>
      </c>
      <c r="I17" s="3">
        <f>G17-F17</f>
        <v>0</v>
      </c>
      <c r="J17" s="39">
        <f>C17*F17*C27</f>
        <v>154830.21496818002</v>
      </c>
      <c r="K17" s="39">
        <f>D17*G17*C27</f>
        <v>174341.83939860002</v>
      </c>
      <c r="L17" s="76">
        <f>(K17+K18)/(J17+J18)*100</f>
        <v>112.60194880852548</v>
      </c>
      <c r="M17" s="42">
        <f t="shared" si="0"/>
        <v>100</v>
      </c>
    </row>
    <row r="18" spans="1:13" ht="18" x14ac:dyDescent="0.25">
      <c r="A18" s="71"/>
      <c r="B18" s="28" t="s">
        <v>22</v>
      </c>
      <c r="C18" s="3">
        <v>1347.49</v>
      </c>
      <c r="D18" s="3">
        <v>1517.3</v>
      </c>
      <c r="E18" s="73"/>
      <c r="F18" s="81"/>
      <c r="G18" s="81"/>
      <c r="H18" s="3" t="s">
        <v>36</v>
      </c>
      <c r="I18" s="3">
        <v>0</v>
      </c>
      <c r="J18" s="39">
        <v>0</v>
      </c>
      <c r="K18" s="39">
        <v>0</v>
      </c>
      <c r="L18" s="77"/>
      <c r="M18" s="40"/>
    </row>
    <row r="19" spans="1:13" ht="36" x14ac:dyDescent="0.25">
      <c r="A19" s="69">
        <v>5</v>
      </c>
      <c r="B19" s="28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108.47953216374269</v>
      </c>
      <c r="M19" s="40">
        <f t="shared" si="0"/>
        <v>100</v>
      </c>
    </row>
    <row r="20" spans="1:13" ht="36" x14ac:dyDescent="0.25">
      <c r="A20" s="70"/>
      <c r="B20" s="28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28994.760000000002</v>
      </c>
      <c r="K20" s="39">
        <f>D20*G19*C26</f>
        <v>31453.38</v>
      </c>
      <c r="L20" s="77"/>
      <c r="M20" s="40"/>
    </row>
    <row r="21" spans="1:13" ht="18" x14ac:dyDescent="0.25">
      <c r="A21" s="71"/>
      <c r="B21" s="28" t="s">
        <v>41</v>
      </c>
      <c r="C21" s="3">
        <v>1.71</v>
      </c>
      <c r="D21" s="64">
        <v>1.855</v>
      </c>
      <c r="E21" s="29"/>
      <c r="F21" s="21">
        <v>0</v>
      </c>
      <c r="G21" s="21">
        <v>0</v>
      </c>
      <c r="H21" s="3"/>
      <c r="I21" s="3">
        <v>0</v>
      </c>
      <c r="J21" s="4"/>
      <c r="K21" s="4"/>
      <c r="L21" s="4"/>
      <c r="M21" s="40"/>
    </row>
    <row r="22" spans="1:13" ht="36" x14ac:dyDescent="0.25">
      <c r="A22" s="69">
        <v>6</v>
      </c>
      <c r="B22" s="28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4" t="s">
        <v>42</v>
      </c>
      <c r="K22" s="4" t="s">
        <v>43</v>
      </c>
      <c r="L22" s="78"/>
      <c r="M22" s="40"/>
    </row>
    <row r="23" spans="1:13" ht="31.2" x14ac:dyDescent="0.25">
      <c r="A23" s="71"/>
      <c r="B23" s="28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4" t="s">
        <v>13</v>
      </c>
      <c r="K23" s="4" t="s">
        <v>14</v>
      </c>
      <c r="L23" s="79"/>
      <c r="M23" s="40"/>
    </row>
    <row r="24" spans="1:13" ht="15.6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J9+J10+J12+J13+J17+J20</f>
        <v>243098.61013484671</v>
      </c>
      <c r="K24" s="47">
        <f>K9+K10+K12+K13+K17+K20</f>
        <v>280340.57729026669</v>
      </c>
      <c r="L24" s="47">
        <f>K24/J24*100</f>
        <v>115.31969563082318</v>
      </c>
      <c r="M24" s="40"/>
    </row>
    <row r="26" spans="1:13" ht="31.2" x14ac:dyDescent="0.25">
      <c r="B26" s="7" t="s">
        <v>32</v>
      </c>
      <c r="C26" s="8">
        <v>157</v>
      </c>
    </row>
    <row r="27" spans="1:13" ht="15.6" x14ac:dyDescent="0.25">
      <c r="B27" s="7" t="s">
        <v>33</v>
      </c>
      <c r="C27" s="8">
        <v>2755.46</v>
      </c>
    </row>
    <row r="28" spans="1:13" ht="46.8" x14ac:dyDescent="0.25">
      <c r="B28" s="7" t="s">
        <v>80</v>
      </c>
      <c r="C28" s="26">
        <f>J24</f>
        <v>243098.61013484671</v>
      </c>
    </row>
    <row r="29" spans="1:13" ht="46.8" x14ac:dyDescent="0.25">
      <c r="B29" s="7" t="s">
        <v>79</v>
      </c>
      <c r="C29" s="26">
        <f>K24</f>
        <v>280340.57729026669</v>
      </c>
    </row>
    <row r="30" spans="1:13" ht="15.6" x14ac:dyDescent="0.25">
      <c r="B30" s="9"/>
      <c r="C30" s="32"/>
    </row>
    <row r="31" spans="1:13" ht="15.6" x14ac:dyDescent="0.25">
      <c r="B31" s="9"/>
      <c r="C31" s="10"/>
    </row>
    <row r="32" spans="1:13" ht="18" hidden="1" x14ac:dyDescent="0.35">
      <c r="B32" s="59" t="s">
        <v>59</v>
      </c>
      <c r="C32" s="11"/>
      <c r="D32" s="12"/>
      <c r="E32" s="13"/>
      <c r="F32" s="12"/>
      <c r="G32" s="13" t="s">
        <v>61</v>
      </c>
      <c r="H32" s="12"/>
    </row>
    <row r="33" spans="1:12" ht="18" hidden="1" x14ac:dyDescent="0.35">
      <c r="B33" s="12"/>
      <c r="C33" s="12"/>
      <c r="D33" s="12"/>
      <c r="E33" s="60" t="s">
        <v>34</v>
      </c>
      <c r="F33" s="18"/>
      <c r="G33" s="18" t="s">
        <v>62</v>
      </c>
      <c r="H33" s="18"/>
    </row>
    <row r="34" spans="1:12" ht="18" hidden="1" x14ac:dyDescent="0.35">
      <c r="B34" s="12"/>
      <c r="C34" s="12"/>
      <c r="D34" s="12"/>
      <c r="E34" s="60"/>
      <c r="F34" s="18"/>
      <c r="G34" s="18"/>
      <c r="H34" s="18"/>
    </row>
    <row r="35" spans="1:12" ht="27.75" hidden="1" customHeight="1" x14ac:dyDescent="0.35">
      <c r="B35" s="18"/>
      <c r="C35" s="12"/>
      <c r="D35" s="12"/>
      <c r="E35" s="14"/>
      <c r="F35" s="12"/>
      <c r="G35" s="12"/>
      <c r="H35" s="12"/>
    </row>
    <row r="36" spans="1:12" ht="26.25" hidden="1" customHeight="1" x14ac:dyDescent="0.35">
      <c r="B36" s="15" t="s">
        <v>58</v>
      </c>
      <c r="C36" s="12"/>
      <c r="D36" s="12"/>
      <c r="E36" s="14"/>
      <c r="F36" s="12"/>
      <c r="G36" s="12"/>
      <c r="H36" s="12"/>
    </row>
    <row r="37" spans="1:12" s="52" customFormat="1" ht="12.75" hidden="1" customHeight="1" x14ac:dyDescent="0.45">
      <c r="A37" s="49"/>
      <c r="B37" s="15" t="s">
        <v>50</v>
      </c>
      <c r="C37" s="50"/>
      <c r="D37" s="50"/>
      <c r="E37" s="51"/>
      <c r="F37" s="50"/>
      <c r="G37" s="50"/>
      <c r="H37" s="50"/>
      <c r="I37" s="50"/>
      <c r="J37" s="50"/>
      <c r="K37" s="50"/>
      <c r="L37" s="50"/>
    </row>
    <row r="38" spans="1:12" s="52" customFormat="1" ht="27.6" x14ac:dyDescent="0.4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1:12" s="52" customFormat="1" ht="27.6" x14ac:dyDescent="0.4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s="52" customFormat="1" ht="27.6" x14ac:dyDescent="0.4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s="52" customFormat="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s="52" customFormat="1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1:12" s="52" customFormat="1" ht="27.6" x14ac:dyDescent="0.4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22.8" x14ac:dyDescent="0.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</sheetData>
  <mergeCells count="39">
    <mergeCell ref="A24:B24"/>
    <mergeCell ref="A38:L38"/>
    <mergeCell ref="A39:L39"/>
    <mergeCell ref="A40:L40"/>
    <mergeCell ref="A41:L42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  <mergeCell ref="G15:G16"/>
    <mergeCell ref="L15:L16"/>
    <mergeCell ref="A17:A18"/>
    <mergeCell ref="E17:E18"/>
    <mergeCell ref="F17:F18"/>
    <mergeCell ref="G17:G18"/>
    <mergeCell ref="L17:L18"/>
    <mergeCell ref="A12:A14"/>
    <mergeCell ref="E12:E13"/>
    <mergeCell ref="F12:F13"/>
    <mergeCell ref="G12:G13"/>
    <mergeCell ref="L12:L13"/>
    <mergeCell ref="L1:M1"/>
    <mergeCell ref="B4:K4"/>
    <mergeCell ref="B5:K5"/>
    <mergeCell ref="B6:K6"/>
    <mergeCell ref="A9:A11"/>
    <mergeCell ref="E9:E11"/>
    <mergeCell ref="F9:F10"/>
    <mergeCell ref="G9:G10"/>
    <mergeCell ref="L9:L10"/>
  </mergeCells>
  <pageMargins left="0.78740157480314965" right="0.39370078740157483" top="1.3779527559055118" bottom="0.78740157480314965" header="0.31496062992125984" footer="0.31496062992125984"/>
  <pageSetup paperSize="9" scale="53" orientation="landscape" r:id="rId1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topLeftCell="A13" zoomScale="60" zoomScaleNormal="40" workbookViewId="0">
      <selection activeCell="G27" sqref="G27"/>
    </sheetView>
  </sheetViews>
  <sheetFormatPr defaultRowHeight="13.2" x14ac:dyDescent="0.25"/>
  <cols>
    <col min="1" max="1" width="9.109375" style="1"/>
    <col min="2" max="2" width="52.33203125" style="1" customWidth="1"/>
    <col min="3" max="3" width="16" style="1" customWidth="1"/>
    <col min="4" max="4" width="15.44140625" style="1" customWidth="1"/>
    <col min="5" max="6" width="16.44140625" style="1" customWidth="1"/>
    <col min="7" max="7" width="18.5546875" style="1" customWidth="1"/>
    <col min="8" max="9" width="15.44140625" style="1" customWidth="1"/>
    <col min="10" max="10" width="22.33203125" style="1" customWidth="1"/>
    <col min="11" max="11" width="22" style="1" customWidth="1"/>
    <col min="12" max="12" width="18.6640625" style="1" customWidth="1"/>
    <col min="13" max="13" width="14.664062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15.6" x14ac:dyDescent="0.3">
      <c r="L1" s="91" t="s">
        <v>93</v>
      </c>
      <c r="M1" s="91"/>
    </row>
    <row r="2" spans="1:13" ht="15.6" x14ac:dyDescent="0.3">
      <c r="L2" s="18" t="s">
        <v>81</v>
      </c>
      <c r="M2" s="18"/>
    </row>
    <row r="3" spans="1:13" ht="15.6" x14ac:dyDescent="0.3">
      <c r="L3" s="18" t="s">
        <v>89</v>
      </c>
      <c r="M3" s="18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399999999999999" x14ac:dyDescent="0.25">
      <c r="B5" s="85" t="s">
        <v>74</v>
      </c>
      <c r="C5" s="85"/>
      <c r="D5" s="85"/>
      <c r="E5" s="85"/>
      <c r="F5" s="85"/>
      <c r="G5" s="85"/>
      <c r="H5" s="85"/>
      <c r="I5" s="85"/>
      <c r="J5" s="85"/>
      <c r="K5" s="85"/>
    </row>
    <row r="6" spans="1:13" ht="36.75" customHeight="1" x14ac:dyDescent="0.25">
      <c r="B6" s="86" t="s">
        <v>55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38" x14ac:dyDescent="0.25">
      <c r="A7" s="19" t="s">
        <v>1</v>
      </c>
      <c r="B7" s="19" t="s">
        <v>2</v>
      </c>
      <c r="C7" s="19" t="s">
        <v>66</v>
      </c>
      <c r="D7" s="19" t="s">
        <v>67</v>
      </c>
      <c r="E7" s="19" t="s">
        <v>3</v>
      </c>
      <c r="F7" s="19" t="s">
        <v>68</v>
      </c>
      <c r="G7" s="19" t="s">
        <v>69</v>
      </c>
      <c r="H7" s="19" t="s">
        <v>4</v>
      </c>
      <c r="I7" s="19" t="s">
        <v>5</v>
      </c>
      <c r="J7" s="19" t="s">
        <v>70</v>
      </c>
      <c r="K7" s="19" t="s">
        <v>71</v>
      </c>
      <c r="L7" s="19" t="s">
        <v>76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>
        <v>11</v>
      </c>
    </row>
    <row r="9" spans="1:13" ht="36" x14ac:dyDescent="0.25">
      <c r="A9" s="69">
        <v>1</v>
      </c>
      <c r="B9" s="28" t="s">
        <v>8</v>
      </c>
      <c r="C9" s="3">
        <v>34.04</v>
      </c>
      <c r="D9" s="3">
        <v>46.81</v>
      </c>
      <c r="E9" s="72" t="s">
        <v>9</v>
      </c>
      <c r="F9" s="80">
        <v>1.21</v>
      </c>
      <c r="G9" s="80">
        <v>1.21</v>
      </c>
      <c r="H9" s="3" t="s">
        <v>10</v>
      </c>
      <c r="I9" s="3">
        <f>G9-F9</f>
        <v>0</v>
      </c>
      <c r="J9" s="39">
        <f>C9*F9*5</f>
        <v>205.94199999999998</v>
      </c>
      <c r="K9" s="39">
        <f>D9*G9*5</f>
        <v>283.20050000000003</v>
      </c>
      <c r="L9" s="76">
        <f>(K9+K10)/(J9+J10)*100</f>
        <v>137.51468860164516</v>
      </c>
      <c r="M9" s="40">
        <f>G9/F9*100</f>
        <v>100</v>
      </c>
    </row>
    <row r="10" spans="1:13" ht="36" x14ac:dyDescent="0.25">
      <c r="A10" s="70"/>
      <c r="B10" s="28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v>0</v>
      </c>
      <c r="K10" s="39">
        <v>0</v>
      </c>
      <c r="L10" s="77"/>
      <c r="M10" s="40"/>
    </row>
    <row r="11" spans="1:13" ht="18" x14ac:dyDescent="0.25">
      <c r="A11" s="71"/>
      <c r="B11" s="28" t="s">
        <v>39</v>
      </c>
      <c r="C11" s="3">
        <v>34.04</v>
      </c>
      <c r="D11" s="3">
        <v>46.81</v>
      </c>
      <c r="E11" s="73"/>
      <c r="F11" s="20">
        <v>0</v>
      </c>
      <c r="G11" s="20">
        <v>0</v>
      </c>
      <c r="H11" s="3"/>
      <c r="I11" s="3">
        <f>G11-F11</f>
        <v>0</v>
      </c>
      <c r="J11" s="39">
        <v>0</v>
      </c>
      <c r="K11" s="39">
        <v>0</v>
      </c>
      <c r="L11" s="4">
        <v>0</v>
      </c>
      <c r="M11" s="40"/>
    </row>
    <row r="12" spans="1:13" ht="36" x14ac:dyDescent="0.25">
      <c r="A12" s="69">
        <v>2</v>
      </c>
      <c r="B12" s="28" t="s">
        <v>15</v>
      </c>
      <c r="C12" s="3">
        <v>129.56</v>
      </c>
      <c r="D12" s="3">
        <v>155.9</v>
      </c>
      <c r="E12" s="72" t="s">
        <v>9</v>
      </c>
      <c r="F12" s="74">
        <v>1.38</v>
      </c>
      <c r="G12" s="83">
        <v>1.38</v>
      </c>
      <c r="H12" s="3" t="s">
        <v>10</v>
      </c>
      <c r="I12" s="3">
        <f>G12-F12</f>
        <v>0</v>
      </c>
      <c r="J12" s="39">
        <v>0</v>
      </c>
      <c r="K12" s="39">
        <v>0</v>
      </c>
      <c r="L12" s="76">
        <f>(K12+K13)/(J12+J13)*100</f>
        <v>120.33034887310899</v>
      </c>
      <c r="M12" s="40">
        <f t="shared" ref="M12:M19" si="0">G12/F12*100</f>
        <v>100</v>
      </c>
    </row>
    <row r="13" spans="1:13" ht="36" x14ac:dyDescent="0.25">
      <c r="A13" s="70"/>
      <c r="B13" s="28" t="s">
        <v>16</v>
      </c>
      <c r="C13" s="3">
        <v>129.56</v>
      </c>
      <c r="D13" s="3">
        <v>155.9</v>
      </c>
      <c r="E13" s="73"/>
      <c r="F13" s="75"/>
      <c r="G13" s="84"/>
      <c r="H13" s="3" t="s">
        <v>35</v>
      </c>
      <c r="I13" s="3">
        <v>0</v>
      </c>
      <c r="J13" s="39">
        <f>C13*22/12</f>
        <v>237.52666666666667</v>
      </c>
      <c r="K13" s="39">
        <f>D13*22/12</f>
        <v>285.81666666666666</v>
      </c>
      <c r="L13" s="77"/>
      <c r="M13" s="40"/>
    </row>
    <row r="14" spans="1:13" ht="18" x14ac:dyDescent="0.25">
      <c r="A14" s="71"/>
      <c r="B14" s="28" t="s">
        <v>40</v>
      </c>
      <c r="C14" s="3">
        <v>129.56</v>
      </c>
      <c r="D14" s="3">
        <v>155.9</v>
      </c>
      <c r="E14" s="37"/>
      <c r="F14" s="21"/>
      <c r="G14" s="21"/>
      <c r="H14" s="3"/>
      <c r="I14" s="3"/>
      <c r="J14" s="39">
        <v>0</v>
      </c>
      <c r="K14" s="39">
        <v>0</v>
      </c>
      <c r="L14" s="35">
        <v>0</v>
      </c>
      <c r="M14" s="40"/>
    </row>
    <row r="15" spans="1:13" ht="36" x14ac:dyDescent="0.25">
      <c r="A15" s="69">
        <v>3</v>
      </c>
      <c r="B15" s="28" t="s">
        <v>17</v>
      </c>
      <c r="C15" s="3">
        <v>34.159999999999997</v>
      </c>
      <c r="D15" s="3">
        <v>46.54</v>
      </c>
      <c r="E15" s="72" t="s">
        <v>9</v>
      </c>
      <c r="F15" s="80" t="s">
        <v>47</v>
      </c>
      <c r="G15" s="80" t="s">
        <v>47</v>
      </c>
      <c r="H15" s="3" t="s">
        <v>10</v>
      </c>
      <c r="I15" s="3">
        <v>0</v>
      </c>
      <c r="J15" s="39">
        <v>0</v>
      </c>
      <c r="K15" s="39">
        <v>0</v>
      </c>
      <c r="L15" s="76"/>
      <c r="M15" s="40"/>
    </row>
    <row r="16" spans="1:13" ht="18" x14ac:dyDescent="0.25">
      <c r="A16" s="71"/>
      <c r="B16" s="28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/>
      <c r="K16" s="39"/>
      <c r="L16" s="77"/>
      <c r="M16" s="40"/>
    </row>
    <row r="17" spans="1:13" ht="36" x14ac:dyDescent="0.25">
      <c r="A17" s="69">
        <v>4</v>
      </c>
      <c r="B17" s="28" t="s">
        <v>19</v>
      </c>
      <c r="C17" s="3">
        <v>1347.49</v>
      </c>
      <c r="D17" s="3">
        <v>1517.3</v>
      </c>
      <c r="E17" s="72" t="s">
        <v>20</v>
      </c>
      <c r="F17" s="80">
        <v>4.1700000000000001E-2</v>
      </c>
      <c r="G17" s="80">
        <v>4.1700000000000001E-2</v>
      </c>
      <c r="H17" s="3" t="s">
        <v>21</v>
      </c>
      <c r="I17" s="3">
        <f>G17-F17</f>
        <v>0</v>
      </c>
      <c r="J17" s="39">
        <f>C17*F17*C27</f>
        <v>2747.7072837000001</v>
      </c>
      <c r="K17" s="39">
        <f>D17*G17*C27</f>
        <v>3093.9719490000002</v>
      </c>
      <c r="L17" s="76">
        <f>(K17+K18)/(J17+J18)*100</f>
        <v>112.60194880852548</v>
      </c>
      <c r="M17" s="45">
        <f t="shared" si="0"/>
        <v>100</v>
      </c>
    </row>
    <row r="18" spans="1:13" ht="18" x14ac:dyDescent="0.25">
      <c r="A18" s="71"/>
      <c r="B18" s="28" t="s">
        <v>22</v>
      </c>
      <c r="C18" s="3">
        <v>1347.49</v>
      </c>
      <c r="D18" s="3">
        <v>1517.3</v>
      </c>
      <c r="E18" s="73"/>
      <c r="F18" s="81"/>
      <c r="G18" s="81"/>
      <c r="H18" s="3" t="s">
        <v>36</v>
      </c>
      <c r="I18" s="3">
        <v>0</v>
      </c>
      <c r="J18" s="39">
        <v>0</v>
      </c>
      <c r="K18" s="39">
        <v>0</v>
      </c>
      <c r="L18" s="77"/>
      <c r="M18" s="40"/>
    </row>
    <row r="19" spans="1:13" ht="36" x14ac:dyDescent="0.25">
      <c r="A19" s="69">
        <v>5</v>
      </c>
      <c r="B19" s="28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108.47953216374269</v>
      </c>
      <c r="M19" s="40">
        <f t="shared" si="0"/>
        <v>100</v>
      </c>
    </row>
    <row r="20" spans="1:13" ht="36" x14ac:dyDescent="0.25">
      <c r="A20" s="70"/>
      <c r="B20" s="28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923.40000000000009</v>
      </c>
      <c r="K20" s="39">
        <f>D20*G19*C26</f>
        <v>1001.7</v>
      </c>
      <c r="L20" s="77"/>
      <c r="M20" s="40"/>
    </row>
    <row r="21" spans="1:13" ht="18" x14ac:dyDescent="0.25">
      <c r="A21" s="71"/>
      <c r="B21" s="28" t="s">
        <v>41</v>
      </c>
      <c r="C21" s="3">
        <v>1.71</v>
      </c>
      <c r="D21" s="64">
        <v>1.855</v>
      </c>
      <c r="E21" s="37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0"/>
    </row>
    <row r="22" spans="1:13" ht="36" x14ac:dyDescent="0.25">
      <c r="A22" s="69">
        <v>6</v>
      </c>
      <c r="B22" s="28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0"/>
    </row>
    <row r="23" spans="1:13" ht="31.2" x14ac:dyDescent="0.25">
      <c r="A23" s="71"/>
      <c r="B23" s="28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0"/>
    </row>
    <row r="24" spans="1:13" ht="15.6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J9+J13+J17+J20</f>
        <v>4114.5759503666668</v>
      </c>
      <c r="K24" s="47">
        <f>K9+K13+K17+K20</f>
        <v>4664.689115666667</v>
      </c>
      <c r="L24" s="47">
        <f>K24/J24*100</f>
        <v>113.36986294422337</v>
      </c>
      <c r="M24" s="40"/>
    </row>
    <row r="26" spans="1:13" ht="31.2" x14ac:dyDescent="0.25">
      <c r="B26" s="7" t="s">
        <v>32</v>
      </c>
      <c r="C26" s="8">
        <v>5</v>
      </c>
    </row>
    <row r="27" spans="1:13" ht="15.6" x14ac:dyDescent="0.25">
      <c r="B27" s="7" t="s">
        <v>33</v>
      </c>
      <c r="C27" s="8">
        <v>48.9</v>
      </c>
    </row>
    <row r="28" spans="1:13" ht="46.8" x14ac:dyDescent="0.25">
      <c r="B28" s="7" t="s">
        <v>80</v>
      </c>
      <c r="C28" s="26">
        <f>J24</f>
        <v>4114.5759503666668</v>
      </c>
    </row>
    <row r="29" spans="1:13" ht="46.8" x14ac:dyDescent="0.25">
      <c r="B29" s="7" t="s">
        <v>79</v>
      </c>
      <c r="C29" s="26">
        <f>K24</f>
        <v>4664.689115666667</v>
      </c>
    </row>
    <row r="30" spans="1:13" ht="15.6" x14ac:dyDescent="0.25">
      <c r="B30" s="9"/>
      <c r="C30" s="32"/>
    </row>
    <row r="31" spans="1:13" ht="15.6" x14ac:dyDescent="0.25">
      <c r="B31" s="9"/>
      <c r="C31" s="10"/>
    </row>
    <row r="32" spans="1:13" ht="18" hidden="1" x14ac:dyDescent="0.35">
      <c r="B32" s="59" t="s">
        <v>59</v>
      </c>
      <c r="C32" s="11"/>
      <c r="D32" s="12"/>
      <c r="E32" s="13"/>
      <c r="F32" s="12"/>
      <c r="G32" s="13" t="s">
        <v>61</v>
      </c>
      <c r="H32" s="12"/>
    </row>
    <row r="33" spans="2:8" ht="18" hidden="1" x14ac:dyDescent="0.35">
      <c r="B33" s="12"/>
      <c r="C33" s="12"/>
      <c r="D33" s="12"/>
      <c r="E33" s="14" t="s">
        <v>34</v>
      </c>
      <c r="F33" s="12"/>
      <c r="G33" s="12" t="s">
        <v>62</v>
      </c>
      <c r="H33" s="12"/>
    </row>
    <row r="34" spans="2:8" ht="18" hidden="1" x14ac:dyDescent="0.35">
      <c r="B34" s="12"/>
      <c r="C34" s="12"/>
      <c r="D34" s="12"/>
      <c r="E34" s="14"/>
      <c r="F34" s="12"/>
      <c r="G34" s="12"/>
      <c r="H34" s="12"/>
    </row>
    <row r="35" spans="2:8" hidden="1" x14ac:dyDescent="0.25"/>
    <row r="36" spans="2:8" hidden="1" x14ac:dyDescent="0.25">
      <c r="B36" s="15" t="s">
        <v>58</v>
      </c>
    </row>
    <row r="37" spans="2:8" hidden="1" x14ac:dyDescent="0.25">
      <c r="B37" s="15" t="s">
        <v>50</v>
      </c>
    </row>
    <row r="38" spans="2:8" hidden="1" x14ac:dyDescent="0.25"/>
  </sheetData>
  <mergeCells count="35">
    <mergeCell ref="B4:K4"/>
    <mergeCell ref="B5:K5"/>
    <mergeCell ref="B6:K6"/>
    <mergeCell ref="A9:A11"/>
    <mergeCell ref="E9:E11"/>
    <mergeCell ref="F9:F10"/>
    <mergeCell ref="G9:G10"/>
    <mergeCell ref="L9:L10"/>
    <mergeCell ref="A12:A14"/>
    <mergeCell ref="E12:E13"/>
    <mergeCell ref="F12:F13"/>
    <mergeCell ref="G12:G13"/>
    <mergeCell ref="L12:L13"/>
    <mergeCell ref="L15:L16"/>
    <mergeCell ref="A17:A18"/>
    <mergeCell ref="E17:E18"/>
    <mergeCell ref="F17:F18"/>
    <mergeCell ref="G17:G18"/>
    <mergeCell ref="L17:L18"/>
    <mergeCell ref="L1:M1"/>
    <mergeCell ref="A24:B24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  <mergeCell ref="G15:G16"/>
  </mergeCells>
  <pageMargins left="0.78740157480314965" right="0.39370078740157483" top="1.3779527559055118" bottom="0.78740157480314965" header="0.31496062992125984" footer="0.31496062992125984"/>
  <pageSetup paperSize="9" scale="52" orientation="landscape" r:id="rId1"/>
  <rowBreaks count="1" manualBreakCount="1"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="60" zoomScaleNormal="50" workbookViewId="0">
      <selection activeCell="F29" sqref="F29"/>
    </sheetView>
  </sheetViews>
  <sheetFormatPr defaultRowHeight="13.2" x14ac:dyDescent="0.25"/>
  <cols>
    <col min="1" max="1" width="9.109375" style="1"/>
    <col min="2" max="2" width="52.33203125" style="1" customWidth="1"/>
    <col min="3" max="3" width="16" style="1" customWidth="1"/>
    <col min="4" max="4" width="15.44140625" style="1" customWidth="1"/>
    <col min="5" max="6" width="16.44140625" style="1" customWidth="1"/>
    <col min="7" max="7" width="18.5546875" style="1" customWidth="1"/>
    <col min="8" max="9" width="15.44140625" style="1" customWidth="1"/>
    <col min="10" max="10" width="22.33203125" style="1" customWidth="1"/>
    <col min="11" max="11" width="22" style="1" customWidth="1"/>
    <col min="12" max="12" width="18.6640625" style="1" customWidth="1"/>
    <col min="13" max="13" width="12.88671875" style="1" customWidth="1"/>
    <col min="14" max="256" width="9.109375" style="1"/>
    <col min="257" max="257" width="33.5546875" style="1" customWidth="1"/>
    <col min="258" max="258" width="17.88671875" style="1" customWidth="1"/>
    <col min="259" max="259" width="16.44140625" style="1" customWidth="1"/>
    <col min="260" max="260" width="13.33203125" style="1" customWidth="1"/>
    <col min="261" max="261" width="16.44140625" style="1" customWidth="1"/>
    <col min="262" max="262" width="15.44140625" style="1" customWidth="1"/>
    <col min="263" max="263" width="14.6640625" style="1" customWidth="1"/>
    <col min="264" max="264" width="19" style="1" customWidth="1"/>
    <col min="265" max="265" width="16.109375" style="1" customWidth="1"/>
    <col min="266" max="266" width="14.109375" style="1" customWidth="1"/>
    <col min="267" max="267" width="13.33203125" style="1" customWidth="1"/>
    <col min="268" max="268" width="13.44140625" style="1" customWidth="1"/>
    <col min="269" max="512" width="9.109375" style="1"/>
    <col min="513" max="513" width="33.5546875" style="1" customWidth="1"/>
    <col min="514" max="514" width="17.88671875" style="1" customWidth="1"/>
    <col min="515" max="515" width="16.44140625" style="1" customWidth="1"/>
    <col min="516" max="516" width="13.33203125" style="1" customWidth="1"/>
    <col min="517" max="517" width="16.44140625" style="1" customWidth="1"/>
    <col min="518" max="518" width="15.44140625" style="1" customWidth="1"/>
    <col min="519" max="519" width="14.6640625" style="1" customWidth="1"/>
    <col min="520" max="520" width="19" style="1" customWidth="1"/>
    <col min="521" max="521" width="16.109375" style="1" customWidth="1"/>
    <col min="522" max="522" width="14.109375" style="1" customWidth="1"/>
    <col min="523" max="523" width="13.33203125" style="1" customWidth="1"/>
    <col min="524" max="524" width="13.44140625" style="1" customWidth="1"/>
    <col min="525" max="768" width="9.109375" style="1"/>
    <col min="769" max="769" width="33.5546875" style="1" customWidth="1"/>
    <col min="770" max="770" width="17.88671875" style="1" customWidth="1"/>
    <col min="771" max="771" width="16.44140625" style="1" customWidth="1"/>
    <col min="772" max="772" width="13.33203125" style="1" customWidth="1"/>
    <col min="773" max="773" width="16.44140625" style="1" customWidth="1"/>
    <col min="774" max="774" width="15.44140625" style="1" customWidth="1"/>
    <col min="775" max="775" width="14.6640625" style="1" customWidth="1"/>
    <col min="776" max="776" width="19" style="1" customWidth="1"/>
    <col min="777" max="777" width="16.109375" style="1" customWidth="1"/>
    <col min="778" max="778" width="14.109375" style="1" customWidth="1"/>
    <col min="779" max="779" width="13.33203125" style="1" customWidth="1"/>
    <col min="780" max="780" width="13.44140625" style="1" customWidth="1"/>
    <col min="781" max="1024" width="9.109375" style="1"/>
    <col min="1025" max="1025" width="33.5546875" style="1" customWidth="1"/>
    <col min="1026" max="1026" width="17.88671875" style="1" customWidth="1"/>
    <col min="1027" max="1027" width="16.44140625" style="1" customWidth="1"/>
    <col min="1028" max="1028" width="13.33203125" style="1" customWidth="1"/>
    <col min="1029" max="1029" width="16.44140625" style="1" customWidth="1"/>
    <col min="1030" max="1030" width="15.44140625" style="1" customWidth="1"/>
    <col min="1031" max="1031" width="14.6640625" style="1" customWidth="1"/>
    <col min="1032" max="1032" width="19" style="1" customWidth="1"/>
    <col min="1033" max="1033" width="16.109375" style="1" customWidth="1"/>
    <col min="1034" max="1034" width="14.109375" style="1" customWidth="1"/>
    <col min="1035" max="1035" width="13.33203125" style="1" customWidth="1"/>
    <col min="1036" max="1036" width="13.44140625" style="1" customWidth="1"/>
    <col min="1037" max="1280" width="9.109375" style="1"/>
    <col min="1281" max="1281" width="33.5546875" style="1" customWidth="1"/>
    <col min="1282" max="1282" width="17.88671875" style="1" customWidth="1"/>
    <col min="1283" max="1283" width="16.44140625" style="1" customWidth="1"/>
    <col min="1284" max="1284" width="13.33203125" style="1" customWidth="1"/>
    <col min="1285" max="1285" width="16.44140625" style="1" customWidth="1"/>
    <col min="1286" max="1286" width="15.44140625" style="1" customWidth="1"/>
    <col min="1287" max="1287" width="14.6640625" style="1" customWidth="1"/>
    <col min="1288" max="1288" width="19" style="1" customWidth="1"/>
    <col min="1289" max="1289" width="16.109375" style="1" customWidth="1"/>
    <col min="1290" max="1290" width="14.109375" style="1" customWidth="1"/>
    <col min="1291" max="1291" width="13.33203125" style="1" customWidth="1"/>
    <col min="1292" max="1292" width="13.44140625" style="1" customWidth="1"/>
    <col min="1293" max="1536" width="9.109375" style="1"/>
    <col min="1537" max="1537" width="33.5546875" style="1" customWidth="1"/>
    <col min="1538" max="1538" width="17.88671875" style="1" customWidth="1"/>
    <col min="1539" max="1539" width="16.44140625" style="1" customWidth="1"/>
    <col min="1540" max="1540" width="13.33203125" style="1" customWidth="1"/>
    <col min="1541" max="1541" width="16.44140625" style="1" customWidth="1"/>
    <col min="1542" max="1542" width="15.44140625" style="1" customWidth="1"/>
    <col min="1543" max="1543" width="14.6640625" style="1" customWidth="1"/>
    <col min="1544" max="1544" width="19" style="1" customWidth="1"/>
    <col min="1545" max="1545" width="16.109375" style="1" customWidth="1"/>
    <col min="1546" max="1546" width="14.109375" style="1" customWidth="1"/>
    <col min="1547" max="1547" width="13.33203125" style="1" customWidth="1"/>
    <col min="1548" max="1548" width="13.44140625" style="1" customWidth="1"/>
    <col min="1549" max="1792" width="9.109375" style="1"/>
    <col min="1793" max="1793" width="33.5546875" style="1" customWidth="1"/>
    <col min="1794" max="1794" width="17.88671875" style="1" customWidth="1"/>
    <col min="1795" max="1795" width="16.44140625" style="1" customWidth="1"/>
    <col min="1796" max="1796" width="13.33203125" style="1" customWidth="1"/>
    <col min="1797" max="1797" width="16.44140625" style="1" customWidth="1"/>
    <col min="1798" max="1798" width="15.44140625" style="1" customWidth="1"/>
    <col min="1799" max="1799" width="14.6640625" style="1" customWidth="1"/>
    <col min="1800" max="1800" width="19" style="1" customWidth="1"/>
    <col min="1801" max="1801" width="16.109375" style="1" customWidth="1"/>
    <col min="1802" max="1802" width="14.109375" style="1" customWidth="1"/>
    <col min="1803" max="1803" width="13.33203125" style="1" customWidth="1"/>
    <col min="1804" max="1804" width="13.44140625" style="1" customWidth="1"/>
    <col min="1805" max="2048" width="9.109375" style="1"/>
    <col min="2049" max="2049" width="33.5546875" style="1" customWidth="1"/>
    <col min="2050" max="2050" width="17.88671875" style="1" customWidth="1"/>
    <col min="2051" max="2051" width="16.44140625" style="1" customWidth="1"/>
    <col min="2052" max="2052" width="13.33203125" style="1" customWidth="1"/>
    <col min="2053" max="2053" width="16.44140625" style="1" customWidth="1"/>
    <col min="2054" max="2054" width="15.44140625" style="1" customWidth="1"/>
    <col min="2055" max="2055" width="14.6640625" style="1" customWidth="1"/>
    <col min="2056" max="2056" width="19" style="1" customWidth="1"/>
    <col min="2057" max="2057" width="16.109375" style="1" customWidth="1"/>
    <col min="2058" max="2058" width="14.109375" style="1" customWidth="1"/>
    <col min="2059" max="2059" width="13.33203125" style="1" customWidth="1"/>
    <col min="2060" max="2060" width="13.44140625" style="1" customWidth="1"/>
    <col min="2061" max="2304" width="9.109375" style="1"/>
    <col min="2305" max="2305" width="33.5546875" style="1" customWidth="1"/>
    <col min="2306" max="2306" width="17.88671875" style="1" customWidth="1"/>
    <col min="2307" max="2307" width="16.44140625" style="1" customWidth="1"/>
    <col min="2308" max="2308" width="13.33203125" style="1" customWidth="1"/>
    <col min="2309" max="2309" width="16.44140625" style="1" customWidth="1"/>
    <col min="2310" max="2310" width="15.44140625" style="1" customWidth="1"/>
    <col min="2311" max="2311" width="14.6640625" style="1" customWidth="1"/>
    <col min="2312" max="2312" width="19" style="1" customWidth="1"/>
    <col min="2313" max="2313" width="16.109375" style="1" customWidth="1"/>
    <col min="2314" max="2314" width="14.109375" style="1" customWidth="1"/>
    <col min="2315" max="2315" width="13.33203125" style="1" customWidth="1"/>
    <col min="2316" max="2316" width="13.44140625" style="1" customWidth="1"/>
    <col min="2317" max="2560" width="9.109375" style="1"/>
    <col min="2561" max="2561" width="33.5546875" style="1" customWidth="1"/>
    <col min="2562" max="2562" width="17.88671875" style="1" customWidth="1"/>
    <col min="2563" max="2563" width="16.44140625" style="1" customWidth="1"/>
    <col min="2564" max="2564" width="13.33203125" style="1" customWidth="1"/>
    <col min="2565" max="2565" width="16.44140625" style="1" customWidth="1"/>
    <col min="2566" max="2566" width="15.44140625" style="1" customWidth="1"/>
    <col min="2567" max="2567" width="14.6640625" style="1" customWidth="1"/>
    <col min="2568" max="2568" width="19" style="1" customWidth="1"/>
    <col min="2569" max="2569" width="16.109375" style="1" customWidth="1"/>
    <col min="2570" max="2570" width="14.109375" style="1" customWidth="1"/>
    <col min="2571" max="2571" width="13.33203125" style="1" customWidth="1"/>
    <col min="2572" max="2572" width="13.44140625" style="1" customWidth="1"/>
    <col min="2573" max="2816" width="9.109375" style="1"/>
    <col min="2817" max="2817" width="33.5546875" style="1" customWidth="1"/>
    <col min="2818" max="2818" width="17.88671875" style="1" customWidth="1"/>
    <col min="2819" max="2819" width="16.44140625" style="1" customWidth="1"/>
    <col min="2820" max="2820" width="13.33203125" style="1" customWidth="1"/>
    <col min="2821" max="2821" width="16.44140625" style="1" customWidth="1"/>
    <col min="2822" max="2822" width="15.44140625" style="1" customWidth="1"/>
    <col min="2823" max="2823" width="14.6640625" style="1" customWidth="1"/>
    <col min="2824" max="2824" width="19" style="1" customWidth="1"/>
    <col min="2825" max="2825" width="16.109375" style="1" customWidth="1"/>
    <col min="2826" max="2826" width="14.109375" style="1" customWidth="1"/>
    <col min="2827" max="2827" width="13.33203125" style="1" customWidth="1"/>
    <col min="2828" max="2828" width="13.44140625" style="1" customWidth="1"/>
    <col min="2829" max="3072" width="9.109375" style="1"/>
    <col min="3073" max="3073" width="33.5546875" style="1" customWidth="1"/>
    <col min="3074" max="3074" width="17.88671875" style="1" customWidth="1"/>
    <col min="3075" max="3075" width="16.44140625" style="1" customWidth="1"/>
    <col min="3076" max="3076" width="13.33203125" style="1" customWidth="1"/>
    <col min="3077" max="3077" width="16.44140625" style="1" customWidth="1"/>
    <col min="3078" max="3078" width="15.44140625" style="1" customWidth="1"/>
    <col min="3079" max="3079" width="14.6640625" style="1" customWidth="1"/>
    <col min="3080" max="3080" width="19" style="1" customWidth="1"/>
    <col min="3081" max="3081" width="16.109375" style="1" customWidth="1"/>
    <col min="3082" max="3082" width="14.109375" style="1" customWidth="1"/>
    <col min="3083" max="3083" width="13.33203125" style="1" customWidth="1"/>
    <col min="3084" max="3084" width="13.44140625" style="1" customWidth="1"/>
    <col min="3085" max="3328" width="9.109375" style="1"/>
    <col min="3329" max="3329" width="33.5546875" style="1" customWidth="1"/>
    <col min="3330" max="3330" width="17.88671875" style="1" customWidth="1"/>
    <col min="3331" max="3331" width="16.44140625" style="1" customWidth="1"/>
    <col min="3332" max="3332" width="13.33203125" style="1" customWidth="1"/>
    <col min="3333" max="3333" width="16.44140625" style="1" customWidth="1"/>
    <col min="3334" max="3334" width="15.44140625" style="1" customWidth="1"/>
    <col min="3335" max="3335" width="14.6640625" style="1" customWidth="1"/>
    <col min="3336" max="3336" width="19" style="1" customWidth="1"/>
    <col min="3337" max="3337" width="16.109375" style="1" customWidth="1"/>
    <col min="3338" max="3338" width="14.109375" style="1" customWidth="1"/>
    <col min="3339" max="3339" width="13.33203125" style="1" customWidth="1"/>
    <col min="3340" max="3340" width="13.44140625" style="1" customWidth="1"/>
    <col min="3341" max="3584" width="9.109375" style="1"/>
    <col min="3585" max="3585" width="33.5546875" style="1" customWidth="1"/>
    <col min="3586" max="3586" width="17.88671875" style="1" customWidth="1"/>
    <col min="3587" max="3587" width="16.44140625" style="1" customWidth="1"/>
    <col min="3588" max="3588" width="13.33203125" style="1" customWidth="1"/>
    <col min="3589" max="3589" width="16.44140625" style="1" customWidth="1"/>
    <col min="3590" max="3590" width="15.44140625" style="1" customWidth="1"/>
    <col min="3591" max="3591" width="14.6640625" style="1" customWidth="1"/>
    <col min="3592" max="3592" width="19" style="1" customWidth="1"/>
    <col min="3593" max="3593" width="16.109375" style="1" customWidth="1"/>
    <col min="3594" max="3594" width="14.109375" style="1" customWidth="1"/>
    <col min="3595" max="3595" width="13.33203125" style="1" customWidth="1"/>
    <col min="3596" max="3596" width="13.44140625" style="1" customWidth="1"/>
    <col min="3597" max="3840" width="9.109375" style="1"/>
    <col min="3841" max="3841" width="33.5546875" style="1" customWidth="1"/>
    <col min="3842" max="3842" width="17.88671875" style="1" customWidth="1"/>
    <col min="3843" max="3843" width="16.44140625" style="1" customWidth="1"/>
    <col min="3844" max="3844" width="13.33203125" style="1" customWidth="1"/>
    <col min="3845" max="3845" width="16.44140625" style="1" customWidth="1"/>
    <col min="3846" max="3846" width="15.44140625" style="1" customWidth="1"/>
    <col min="3847" max="3847" width="14.6640625" style="1" customWidth="1"/>
    <col min="3848" max="3848" width="19" style="1" customWidth="1"/>
    <col min="3849" max="3849" width="16.109375" style="1" customWidth="1"/>
    <col min="3850" max="3850" width="14.109375" style="1" customWidth="1"/>
    <col min="3851" max="3851" width="13.33203125" style="1" customWidth="1"/>
    <col min="3852" max="3852" width="13.44140625" style="1" customWidth="1"/>
    <col min="3853" max="4096" width="9.109375" style="1"/>
    <col min="4097" max="4097" width="33.5546875" style="1" customWidth="1"/>
    <col min="4098" max="4098" width="17.88671875" style="1" customWidth="1"/>
    <col min="4099" max="4099" width="16.44140625" style="1" customWidth="1"/>
    <col min="4100" max="4100" width="13.33203125" style="1" customWidth="1"/>
    <col min="4101" max="4101" width="16.44140625" style="1" customWidth="1"/>
    <col min="4102" max="4102" width="15.44140625" style="1" customWidth="1"/>
    <col min="4103" max="4103" width="14.6640625" style="1" customWidth="1"/>
    <col min="4104" max="4104" width="19" style="1" customWidth="1"/>
    <col min="4105" max="4105" width="16.109375" style="1" customWidth="1"/>
    <col min="4106" max="4106" width="14.109375" style="1" customWidth="1"/>
    <col min="4107" max="4107" width="13.33203125" style="1" customWidth="1"/>
    <col min="4108" max="4108" width="13.44140625" style="1" customWidth="1"/>
    <col min="4109" max="4352" width="9.109375" style="1"/>
    <col min="4353" max="4353" width="33.5546875" style="1" customWidth="1"/>
    <col min="4354" max="4354" width="17.88671875" style="1" customWidth="1"/>
    <col min="4355" max="4355" width="16.44140625" style="1" customWidth="1"/>
    <col min="4356" max="4356" width="13.33203125" style="1" customWidth="1"/>
    <col min="4357" max="4357" width="16.44140625" style="1" customWidth="1"/>
    <col min="4358" max="4358" width="15.44140625" style="1" customWidth="1"/>
    <col min="4359" max="4359" width="14.6640625" style="1" customWidth="1"/>
    <col min="4360" max="4360" width="19" style="1" customWidth="1"/>
    <col min="4361" max="4361" width="16.109375" style="1" customWidth="1"/>
    <col min="4362" max="4362" width="14.109375" style="1" customWidth="1"/>
    <col min="4363" max="4363" width="13.33203125" style="1" customWidth="1"/>
    <col min="4364" max="4364" width="13.44140625" style="1" customWidth="1"/>
    <col min="4365" max="4608" width="9.109375" style="1"/>
    <col min="4609" max="4609" width="33.5546875" style="1" customWidth="1"/>
    <col min="4610" max="4610" width="17.88671875" style="1" customWidth="1"/>
    <col min="4611" max="4611" width="16.44140625" style="1" customWidth="1"/>
    <col min="4612" max="4612" width="13.33203125" style="1" customWidth="1"/>
    <col min="4613" max="4613" width="16.44140625" style="1" customWidth="1"/>
    <col min="4614" max="4614" width="15.44140625" style="1" customWidth="1"/>
    <col min="4615" max="4615" width="14.6640625" style="1" customWidth="1"/>
    <col min="4616" max="4616" width="19" style="1" customWidth="1"/>
    <col min="4617" max="4617" width="16.109375" style="1" customWidth="1"/>
    <col min="4618" max="4618" width="14.109375" style="1" customWidth="1"/>
    <col min="4619" max="4619" width="13.33203125" style="1" customWidth="1"/>
    <col min="4620" max="4620" width="13.44140625" style="1" customWidth="1"/>
    <col min="4621" max="4864" width="9.109375" style="1"/>
    <col min="4865" max="4865" width="33.5546875" style="1" customWidth="1"/>
    <col min="4866" max="4866" width="17.88671875" style="1" customWidth="1"/>
    <col min="4867" max="4867" width="16.44140625" style="1" customWidth="1"/>
    <col min="4868" max="4868" width="13.33203125" style="1" customWidth="1"/>
    <col min="4869" max="4869" width="16.44140625" style="1" customWidth="1"/>
    <col min="4870" max="4870" width="15.44140625" style="1" customWidth="1"/>
    <col min="4871" max="4871" width="14.6640625" style="1" customWidth="1"/>
    <col min="4872" max="4872" width="19" style="1" customWidth="1"/>
    <col min="4873" max="4873" width="16.109375" style="1" customWidth="1"/>
    <col min="4874" max="4874" width="14.109375" style="1" customWidth="1"/>
    <col min="4875" max="4875" width="13.33203125" style="1" customWidth="1"/>
    <col min="4876" max="4876" width="13.44140625" style="1" customWidth="1"/>
    <col min="4877" max="5120" width="9.109375" style="1"/>
    <col min="5121" max="5121" width="33.5546875" style="1" customWidth="1"/>
    <col min="5122" max="5122" width="17.88671875" style="1" customWidth="1"/>
    <col min="5123" max="5123" width="16.44140625" style="1" customWidth="1"/>
    <col min="5124" max="5124" width="13.33203125" style="1" customWidth="1"/>
    <col min="5125" max="5125" width="16.44140625" style="1" customWidth="1"/>
    <col min="5126" max="5126" width="15.44140625" style="1" customWidth="1"/>
    <col min="5127" max="5127" width="14.6640625" style="1" customWidth="1"/>
    <col min="5128" max="5128" width="19" style="1" customWidth="1"/>
    <col min="5129" max="5129" width="16.109375" style="1" customWidth="1"/>
    <col min="5130" max="5130" width="14.109375" style="1" customWidth="1"/>
    <col min="5131" max="5131" width="13.33203125" style="1" customWidth="1"/>
    <col min="5132" max="5132" width="13.44140625" style="1" customWidth="1"/>
    <col min="5133" max="5376" width="9.109375" style="1"/>
    <col min="5377" max="5377" width="33.5546875" style="1" customWidth="1"/>
    <col min="5378" max="5378" width="17.88671875" style="1" customWidth="1"/>
    <col min="5379" max="5379" width="16.44140625" style="1" customWidth="1"/>
    <col min="5380" max="5380" width="13.33203125" style="1" customWidth="1"/>
    <col min="5381" max="5381" width="16.44140625" style="1" customWidth="1"/>
    <col min="5382" max="5382" width="15.44140625" style="1" customWidth="1"/>
    <col min="5383" max="5383" width="14.6640625" style="1" customWidth="1"/>
    <col min="5384" max="5384" width="19" style="1" customWidth="1"/>
    <col min="5385" max="5385" width="16.109375" style="1" customWidth="1"/>
    <col min="5386" max="5386" width="14.109375" style="1" customWidth="1"/>
    <col min="5387" max="5387" width="13.33203125" style="1" customWidth="1"/>
    <col min="5388" max="5388" width="13.44140625" style="1" customWidth="1"/>
    <col min="5389" max="5632" width="9.109375" style="1"/>
    <col min="5633" max="5633" width="33.5546875" style="1" customWidth="1"/>
    <col min="5634" max="5634" width="17.88671875" style="1" customWidth="1"/>
    <col min="5635" max="5635" width="16.44140625" style="1" customWidth="1"/>
    <col min="5636" max="5636" width="13.33203125" style="1" customWidth="1"/>
    <col min="5637" max="5637" width="16.44140625" style="1" customWidth="1"/>
    <col min="5638" max="5638" width="15.44140625" style="1" customWidth="1"/>
    <col min="5639" max="5639" width="14.6640625" style="1" customWidth="1"/>
    <col min="5640" max="5640" width="19" style="1" customWidth="1"/>
    <col min="5641" max="5641" width="16.109375" style="1" customWidth="1"/>
    <col min="5642" max="5642" width="14.109375" style="1" customWidth="1"/>
    <col min="5643" max="5643" width="13.33203125" style="1" customWidth="1"/>
    <col min="5644" max="5644" width="13.44140625" style="1" customWidth="1"/>
    <col min="5645" max="5888" width="9.109375" style="1"/>
    <col min="5889" max="5889" width="33.5546875" style="1" customWidth="1"/>
    <col min="5890" max="5890" width="17.88671875" style="1" customWidth="1"/>
    <col min="5891" max="5891" width="16.44140625" style="1" customWidth="1"/>
    <col min="5892" max="5892" width="13.33203125" style="1" customWidth="1"/>
    <col min="5893" max="5893" width="16.44140625" style="1" customWidth="1"/>
    <col min="5894" max="5894" width="15.44140625" style="1" customWidth="1"/>
    <col min="5895" max="5895" width="14.6640625" style="1" customWidth="1"/>
    <col min="5896" max="5896" width="19" style="1" customWidth="1"/>
    <col min="5897" max="5897" width="16.109375" style="1" customWidth="1"/>
    <col min="5898" max="5898" width="14.109375" style="1" customWidth="1"/>
    <col min="5899" max="5899" width="13.33203125" style="1" customWidth="1"/>
    <col min="5900" max="5900" width="13.44140625" style="1" customWidth="1"/>
    <col min="5901" max="6144" width="9.109375" style="1"/>
    <col min="6145" max="6145" width="33.5546875" style="1" customWidth="1"/>
    <col min="6146" max="6146" width="17.88671875" style="1" customWidth="1"/>
    <col min="6147" max="6147" width="16.44140625" style="1" customWidth="1"/>
    <col min="6148" max="6148" width="13.33203125" style="1" customWidth="1"/>
    <col min="6149" max="6149" width="16.44140625" style="1" customWidth="1"/>
    <col min="6150" max="6150" width="15.44140625" style="1" customWidth="1"/>
    <col min="6151" max="6151" width="14.6640625" style="1" customWidth="1"/>
    <col min="6152" max="6152" width="19" style="1" customWidth="1"/>
    <col min="6153" max="6153" width="16.109375" style="1" customWidth="1"/>
    <col min="6154" max="6154" width="14.109375" style="1" customWidth="1"/>
    <col min="6155" max="6155" width="13.33203125" style="1" customWidth="1"/>
    <col min="6156" max="6156" width="13.44140625" style="1" customWidth="1"/>
    <col min="6157" max="6400" width="9.109375" style="1"/>
    <col min="6401" max="6401" width="33.5546875" style="1" customWidth="1"/>
    <col min="6402" max="6402" width="17.88671875" style="1" customWidth="1"/>
    <col min="6403" max="6403" width="16.44140625" style="1" customWidth="1"/>
    <col min="6404" max="6404" width="13.33203125" style="1" customWidth="1"/>
    <col min="6405" max="6405" width="16.44140625" style="1" customWidth="1"/>
    <col min="6406" max="6406" width="15.44140625" style="1" customWidth="1"/>
    <col min="6407" max="6407" width="14.6640625" style="1" customWidth="1"/>
    <col min="6408" max="6408" width="19" style="1" customWidth="1"/>
    <col min="6409" max="6409" width="16.109375" style="1" customWidth="1"/>
    <col min="6410" max="6410" width="14.109375" style="1" customWidth="1"/>
    <col min="6411" max="6411" width="13.33203125" style="1" customWidth="1"/>
    <col min="6412" max="6412" width="13.44140625" style="1" customWidth="1"/>
    <col min="6413" max="6656" width="9.109375" style="1"/>
    <col min="6657" max="6657" width="33.5546875" style="1" customWidth="1"/>
    <col min="6658" max="6658" width="17.88671875" style="1" customWidth="1"/>
    <col min="6659" max="6659" width="16.44140625" style="1" customWidth="1"/>
    <col min="6660" max="6660" width="13.33203125" style="1" customWidth="1"/>
    <col min="6661" max="6661" width="16.44140625" style="1" customWidth="1"/>
    <col min="6662" max="6662" width="15.44140625" style="1" customWidth="1"/>
    <col min="6663" max="6663" width="14.6640625" style="1" customWidth="1"/>
    <col min="6664" max="6664" width="19" style="1" customWidth="1"/>
    <col min="6665" max="6665" width="16.109375" style="1" customWidth="1"/>
    <col min="6666" max="6666" width="14.109375" style="1" customWidth="1"/>
    <col min="6667" max="6667" width="13.33203125" style="1" customWidth="1"/>
    <col min="6668" max="6668" width="13.44140625" style="1" customWidth="1"/>
    <col min="6669" max="6912" width="9.109375" style="1"/>
    <col min="6913" max="6913" width="33.5546875" style="1" customWidth="1"/>
    <col min="6914" max="6914" width="17.88671875" style="1" customWidth="1"/>
    <col min="6915" max="6915" width="16.44140625" style="1" customWidth="1"/>
    <col min="6916" max="6916" width="13.33203125" style="1" customWidth="1"/>
    <col min="6917" max="6917" width="16.44140625" style="1" customWidth="1"/>
    <col min="6918" max="6918" width="15.44140625" style="1" customWidth="1"/>
    <col min="6919" max="6919" width="14.6640625" style="1" customWidth="1"/>
    <col min="6920" max="6920" width="19" style="1" customWidth="1"/>
    <col min="6921" max="6921" width="16.109375" style="1" customWidth="1"/>
    <col min="6922" max="6922" width="14.109375" style="1" customWidth="1"/>
    <col min="6923" max="6923" width="13.33203125" style="1" customWidth="1"/>
    <col min="6924" max="6924" width="13.44140625" style="1" customWidth="1"/>
    <col min="6925" max="7168" width="9.109375" style="1"/>
    <col min="7169" max="7169" width="33.5546875" style="1" customWidth="1"/>
    <col min="7170" max="7170" width="17.88671875" style="1" customWidth="1"/>
    <col min="7171" max="7171" width="16.44140625" style="1" customWidth="1"/>
    <col min="7172" max="7172" width="13.33203125" style="1" customWidth="1"/>
    <col min="7173" max="7173" width="16.44140625" style="1" customWidth="1"/>
    <col min="7174" max="7174" width="15.44140625" style="1" customWidth="1"/>
    <col min="7175" max="7175" width="14.6640625" style="1" customWidth="1"/>
    <col min="7176" max="7176" width="19" style="1" customWidth="1"/>
    <col min="7177" max="7177" width="16.109375" style="1" customWidth="1"/>
    <col min="7178" max="7178" width="14.109375" style="1" customWidth="1"/>
    <col min="7179" max="7179" width="13.33203125" style="1" customWidth="1"/>
    <col min="7180" max="7180" width="13.44140625" style="1" customWidth="1"/>
    <col min="7181" max="7424" width="9.109375" style="1"/>
    <col min="7425" max="7425" width="33.5546875" style="1" customWidth="1"/>
    <col min="7426" max="7426" width="17.88671875" style="1" customWidth="1"/>
    <col min="7427" max="7427" width="16.44140625" style="1" customWidth="1"/>
    <col min="7428" max="7428" width="13.33203125" style="1" customWidth="1"/>
    <col min="7429" max="7429" width="16.44140625" style="1" customWidth="1"/>
    <col min="7430" max="7430" width="15.44140625" style="1" customWidth="1"/>
    <col min="7431" max="7431" width="14.6640625" style="1" customWidth="1"/>
    <col min="7432" max="7432" width="19" style="1" customWidth="1"/>
    <col min="7433" max="7433" width="16.109375" style="1" customWidth="1"/>
    <col min="7434" max="7434" width="14.109375" style="1" customWidth="1"/>
    <col min="7435" max="7435" width="13.33203125" style="1" customWidth="1"/>
    <col min="7436" max="7436" width="13.44140625" style="1" customWidth="1"/>
    <col min="7437" max="7680" width="9.109375" style="1"/>
    <col min="7681" max="7681" width="33.5546875" style="1" customWidth="1"/>
    <col min="7682" max="7682" width="17.88671875" style="1" customWidth="1"/>
    <col min="7683" max="7683" width="16.44140625" style="1" customWidth="1"/>
    <col min="7684" max="7684" width="13.33203125" style="1" customWidth="1"/>
    <col min="7685" max="7685" width="16.44140625" style="1" customWidth="1"/>
    <col min="7686" max="7686" width="15.44140625" style="1" customWidth="1"/>
    <col min="7687" max="7687" width="14.6640625" style="1" customWidth="1"/>
    <col min="7688" max="7688" width="19" style="1" customWidth="1"/>
    <col min="7689" max="7689" width="16.109375" style="1" customWidth="1"/>
    <col min="7690" max="7690" width="14.109375" style="1" customWidth="1"/>
    <col min="7691" max="7691" width="13.33203125" style="1" customWidth="1"/>
    <col min="7692" max="7692" width="13.44140625" style="1" customWidth="1"/>
    <col min="7693" max="7936" width="9.109375" style="1"/>
    <col min="7937" max="7937" width="33.5546875" style="1" customWidth="1"/>
    <col min="7938" max="7938" width="17.88671875" style="1" customWidth="1"/>
    <col min="7939" max="7939" width="16.44140625" style="1" customWidth="1"/>
    <col min="7940" max="7940" width="13.33203125" style="1" customWidth="1"/>
    <col min="7941" max="7941" width="16.44140625" style="1" customWidth="1"/>
    <col min="7942" max="7942" width="15.44140625" style="1" customWidth="1"/>
    <col min="7943" max="7943" width="14.6640625" style="1" customWidth="1"/>
    <col min="7944" max="7944" width="19" style="1" customWidth="1"/>
    <col min="7945" max="7945" width="16.109375" style="1" customWidth="1"/>
    <col min="7946" max="7946" width="14.109375" style="1" customWidth="1"/>
    <col min="7947" max="7947" width="13.33203125" style="1" customWidth="1"/>
    <col min="7948" max="7948" width="13.44140625" style="1" customWidth="1"/>
    <col min="7949" max="8192" width="9.109375" style="1"/>
    <col min="8193" max="8193" width="33.5546875" style="1" customWidth="1"/>
    <col min="8194" max="8194" width="17.88671875" style="1" customWidth="1"/>
    <col min="8195" max="8195" width="16.44140625" style="1" customWidth="1"/>
    <col min="8196" max="8196" width="13.33203125" style="1" customWidth="1"/>
    <col min="8197" max="8197" width="16.44140625" style="1" customWidth="1"/>
    <col min="8198" max="8198" width="15.44140625" style="1" customWidth="1"/>
    <col min="8199" max="8199" width="14.6640625" style="1" customWidth="1"/>
    <col min="8200" max="8200" width="19" style="1" customWidth="1"/>
    <col min="8201" max="8201" width="16.109375" style="1" customWidth="1"/>
    <col min="8202" max="8202" width="14.109375" style="1" customWidth="1"/>
    <col min="8203" max="8203" width="13.33203125" style="1" customWidth="1"/>
    <col min="8204" max="8204" width="13.44140625" style="1" customWidth="1"/>
    <col min="8205" max="8448" width="9.109375" style="1"/>
    <col min="8449" max="8449" width="33.5546875" style="1" customWidth="1"/>
    <col min="8450" max="8450" width="17.88671875" style="1" customWidth="1"/>
    <col min="8451" max="8451" width="16.44140625" style="1" customWidth="1"/>
    <col min="8452" max="8452" width="13.33203125" style="1" customWidth="1"/>
    <col min="8453" max="8453" width="16.44140625" style="1" customWidth="1"/>
    <col min="8454" max="8454" width="15.44140625" style="1" customWidth="1"/>
    <col min="8455" max="8455" width="14.6640625" style="1" customWidth="1"/>
    <col min="8456" max="8456" width="19" style="1" customWidth="1"/>
    <col min="8457" max="8457" width="16.109375" style="1" customWidth="1"/>
    <col min="8458" max="8458" width="14.109375" style="1" customWidth="1"/>
    <col min="8459" max="8459" width="13.33203125" style="1" customWidth="1"/>
    <col min="8460" max="8460" width="13.44140625" style="1" customWidth="1"/>
    <col min="8461" max="8704" width="9.109375" style="1"/>
    <col min="8705" max="8705" width="33.5546875" style="1" customWidth="1"/>
    <col min="8706" max="8706" width="17.88671875" style="1" customWidth="1"/>
    <col min="8707" max="8707" width="16.44140625" style="1" customWidth="1"/>
    <col min="8708" max="8708" width="13.33203125" style="1" customWidth="1"/>
    <col min="8709" max="8709" width="16.44140625" style="1" customWidth="1"/>
    <col min="8710" max="8710" width="15.44140625" style="1" customWidth="1"/>
    <col min="8711" max="8711" width="14.6640625" style="1" customWidth="1"/>
    <col min="8712" max="8712" width="19" style="1" customWidth="1"/>
    <col min="8713" max="8713" width="16.109375" style="1" customWidth="1"/>
    <col min="8714" max="8714" width="14.109375" style="1" customWidth="1"/>
    <col min="8715" max="8715" width="13.33203125" style="1" customWidth="1"/>
    <col min="8716" max="8716" width="13.44140625" style="1" customWidth="1"/>
    <col min="8717" max="8960" width="9.109375" style="1"/>
    <col min="8961" max="8961" width="33.5546875" style="1" customWidth="1"/>
    <col min="8962" max="8962" width="17.88671875" style="1" customWidth="1"/>
    <col min="8963" max="8963" width="16.44140625" style="1" customWidth="1"/>
    <col min="8964" max="8964" width="13.33203125" style="1" customWidth="1"/>
    <col min="8965" max="8965" width="16.44140625" style="1" customWidth="1"/>
    <col min="8966" max="8966" width="15.44140625" style="1" customWidth="1"/>
    <col min="8967" max="8967" width="14.6640625" style="1" customWidth="1"/>
    <col min="8968" max="8968" width="19" style="1" customWidth="1"/>
    <col min="8969" max="8969" width="16.109375" style="1" customWidth="1"/>
    <col min="8970" max="8970" width="14.109375" style="1" customWidth="1"/>
    <col min="8971" max="8971" width="13.33203125" style="1" customWidth="1"/>
    <col min="8972" max="8972" width="13.44140625" style="1" customWidth="1"/>
    <col min="8973" max="9216" width="9.109375" style="1"/>
    <col min="9217" max="9217" width="33.5546875" style="1" customWidth="1"/>
    <col min="9218" max="9218" width="17.88671875" style="1" customWidth="1"/>
    <col min="9219" max="9219" width="16.44140625" style="1" customWidth="1"/>
    <col min="9220" max="9220" width="13.33203125" style="1" customWidth="1"/>
    <col min="9221" max="9221" width="16.44140625" style="1" customWidth="1"/>
    <col min="9222" max="9222" width="15.44140625" style="1" customWidth="1"/>
    <col min="9223" max="9223" width="14.6640625" style="1" customWidth="1"/>
    <col min="9224" max="9224" width="19" style="1" customWidth="1"/>
    <col min="9225" max="9225" width="16.109375" style="1" customWidth="1"/>
    <col min="9226" max="9226" width="14.109375" style="1" customWidth="1"/>
    <col min="9227" max="9227" width="13.33203125" style="1" customWidth="1"/>
    <col min="9228" max="9228" width="13.44140625" style="1" customWidth="1"/>
    <col min="9229" max="9472" width="9.109375" style="1"/>
    <col min="9473" max="9473" width="33.5546875" style="1" customWidth="1"/>
    <col min="9474" max="9474" width="17.88671875" style="1" customWidth="1"/>
    <col min="9475" max="9475" width="16.44140625" style="1" customWidth="1"/>
    <col min="9476" max="9476" width="13.33203125" style="1" customWidth="1"/>
    <col min="9477" max="9477" width="16.44140625" style="1" customWidth="1"/>
    <col min="9478" max="9478" width="15.44140625" style="1" customWidth="1"/>
    <col min="9479" max="9479" width="14.6640625" style="1" customWidth="1"/>
    <col min="9480" max="9480" width="19" style="1" customWidth="1"/>
    <col min="9481" max="9481" width="16.109375" style="1" customWidth="1"/>
    <col min="9482" max="9482" width="14.109375" style="1" customWidth="1"/>
    <col min="9483" max="9483" width="13.33203125" style="1" customWidth="1"/>
    <col min="9484" max="9484" width="13.44140625" style="1" customWidth="1"/>
    <col min="9485" max="9728" width="9.109375" style="1"/>
    <col min="9729" max="9729" width="33.5546875" style="1" customWidth="1"/>
    <col min="9730" max="9730" width="17.88671875" style="1" customWidth="1"/>
    <col min="9731" max="9731" width="16.44140625" style="1" customWidth="1"/>
    <col min="9732" max="9732" width="13.33203125" style="1" customWidth="1"/>
    <col min="9733" max="9733" width="16.44140625" style="1" customWidth="1"/>
    <col min="9734" max="9734" width="15.44140625" style="1" customWidth="1"/>
    <col min="9735" max="9735" width="14.6640625" style="1" customWidth="1"/>
    <col min="9736" max="9736" width="19" style="1" customWidth="1"/>
    <col min="9737" max="9737" width="16.109375" style="1" customWidth="1"/>
    <col min="9738" max="9738" width="14.109375" style="1" customWidth="1"/>
    <col min="9739" max="9739" width="13.33203125" style="1" customWidth="1"/>
    <col min="9740" max="9740" width="13.44140625" style="1" customWidth="1"/>
    <col min="9741" max="9984" width="9.109375" style="1"/>
    <col min="9985" max="9985" width="33.5546875" style="1" customWidth="1"/>
    <col min="9986" max="9986" width="17.88671875" style="1" customWidth="1"/>
    <col min="9987" max="9987" width="16.44140625" style="1" customWidth="1"/>
    <col min="9988" max="9988" width="13.33203125" style="1" customWidth="1"/>
    <col min="9989" max="9989" width="16.44140625" style="1" customWidth="1"/>
    <col min="9990" max="9990" width="15.44140625" style="1" customWidth="1"/>
    <col min="9991" max="9991" width="14.6640625" style="1" customWidth="1"/>
    <col min="9992" max="9992" width="19" style="1" customWidth="1"/>
    <col min="9993" max="9993" width="16.109375" style="1" customWidth="1"/>
    <col min="9994" max="9994" width="14.109375" style="1" customWidth="1"/>
    <col min="9995" max="9995" width="13.33203125" style="1" customWidth="1"/>
    <col min="9996" max="9996" width="13.44140625" style="1" customWidth="1"/>
    <col min="9997" max="10240" width="9.109375" style="1"/>
    <col min="10241" max="10241" width="33.5546875" style="1" customWidth="1"/>
    <col min="10242" max="10242" width="17.88671875" style="1" customWidth="1"/>
    <col min="10243" max="10243" width="16.44140625" style="1" customWidth="1"/>
    <col min="10244" max="10244" width="13.33203125" style="1" customWidth="1"/>
    <col min="10245" max="10245" width="16.44140625" style="1" customWidth="1"/>
    <col min="10246" max="10246" width="15.44140625" style="1" customWidth="1"/>
    <col min="10247" max="10247" width="14.6640625" style="1" customWidth="1"/>
    <col min="10248" max="10248" width="19" style="1" customWidth="1"/>
    <col min="10249" max="10249" width="16.109375" style="1" customWidth="1"/>
    <col min="10250" max="10250" width="14.109375" style="1" customWidth="1"/>
    <col min="10251" max="10251" width="13.33203125" style="1" customWidth="1"/>
    <col min="10252" max="10252" width="13.44140625" style="1" customWidth="1"/>
    <col min="10253" max="10496" width="9.109375" style="1"/>
    <col min="10497" max="10497" width="33.5546875" style="1" customWidth="1"/>
    <col min="10498" max="10498" width="17.88671875" style="1" customWidth="1"/>
    <col min="10499" max="10499" width="16.44140625" style="1" customWidth="1"/>
    <col min="10500" max="10500" width="13.33203125" style="1" customWidth="1"/>
    <col min="10501" max="10501" width="16.44140625" style="1" customWidth="1"/>
    <col min="10502" max="10502" width="15.44140625" style="1" customWidth="1"/>
    <col min="10503" max="10503" width="14.6640625" style="1" customWidth="1"/>
    <col min="10504" max="10504" width="19" style="1" customWidth="1"/>
    <col min="10505" max="10505" width="16.109375" style="1" customWidth="1"/>
    <col min="10506" max="10506" width="14.109375" style="1" customWidth="1"/>
    <col min="10507" max="10507" width="13.33203125" style="1" customWidth="1"/>
    <col min="10508" max="10508" width="13.44140625" style="1" customWidth="1"/>
    <col min="10509" max="10752" width="9.109375" style="1"/>
    <col min="10753" max="10753" width="33.5546875" style="1" customWidth="1"/>
    <col min="10754" max="10754" width="17.88671875" style="1" customWidth="1"/>
    <col min="10755" max="10755" width="16.44140625" style="1" customWidth="1"/>
    <col min="10756" max="10756" width="13.33203125" style="1" customWidth="1"/>
    <col min="10757" max="10757" width="16.44140625" style="1" customWidth="1"/>
    <col min="10758" max="10758" width="15.44140625" style="1" customWidth="1"/>
    <col min="10759" max="10759" width="14.6640625" style="1" customWidth="1"/>
    <col min="10760" max="10760" width="19" style="1" customWidth="1"/>
    <col min="10761" max="10761" width="16.109375" style="1" customWidth="1"/>
    <col min="10762" max="10762" width="14.109375" style="1" customWidth="1"/>
    <col min="10763" max="10763" width="13.33203125" style="1" customWidth="1"/>
    <col min="10764" max="10764" width="13.44140625" style="1" customWidth="1"/>
    <col min="10765" max="11008" width="9.109375" style="1"/>
    <col min="11009" max="11009" width="33.5546875" style="1" customWidth="1"/>
    <col min="11010" max="11010" width="17.88671875" style="1" customWidth="1"/>
    <col min="11011" max="11011" width="16.44140625" style="1" customWidth="1"/>
    <col min="11012" max="11012" width="13.33203125" style="1" customWidth="1"/>
    <col min="11013" max="11013" width="16.44140625" style="1" customWidth="1"/>
    <col min="11014" max="11014" width="15.44140625" style="1" customWidth="1"/>
    <col min="11015" max="11015" width="14.6640625" style="1" customWidth="1"/>
    <col min="11016" max="11016" width="19" style="1" customWidth="1"/>
    <col min="11017" max="11017" width="16.109375" style="1" customWidth="1"/>
    <col min="11018" max="11018" width="14.109375" style="1" customWidth="1"/>
    <col min="11019" max="11019" width="13.33203125" style="1" customWidth="1"/>
    <col min="11020" max="11020" width="13.44140625" style="1" customWidth="1"/>
    <col min="11021" max="11264" width="9.109375" style="1"/>
    <col min="11265" max="11265" width="33.5546875" style="1" customWidth="1"/>
    <col min="11266" max="11266" width="17.88671875" style="1" customWidth="1"/>
    <col min="11267" max="11267" width="16.44140625" style="1" customWidth="1"/>
    <col min="11268" max="11268" width="13.33203125" style="1" customWidth="1"/>
    <col min="11269" max="11269" width="16.44140625" style="1" customWidth="1"/>
    <col min="11270" max="11270" width="15.44140625" style="1" customWidth="1"/>
    <col min="11271" max="11271" width="14.6640625" style="1" customWidth="1"/>
    <col min="11272" max="11272" width="19" style="1" customWidth="1"/>
    <col min="11273" max="11273" width="16.109375" style="1" customWidth="1"/>
    <col min="11274" max="11274" width="14.109375" style="1" customWidth="1"/>
    <col min="11275" max="11275" width="13.33203125" style="1" customWidth="1"/>
    <col min="11276" max="11276" width="13.44140625" style="1" customWidth="1"/>
    <col min="11277" max="11520" width="9.109375" style="1"/>
    <col min="11521" max="11521" width="33.5546875" style="1" customWidth="1"/>
    <col min="11522" max="11522" width="17.88671875" style="1" customWidth="1"/>
    <col min="11523" max="11523" width="16.44140625" style="1" customWidth="1"/>
    <col min="11524" max="11524" width="13.33203125" style="1" customWidth="1"/>
    <col min="11525" max="11525" width="16.44140625" style="1" customWidth="1"/>
    <col min="11526" max="11526" width="15.44140625" style="1" customWidth="1"/>
    <col min="11527" max="11527" width="14.6640625" style="1" customWidth="1"/>
    <col min="11528" max="11528" width="19" style="1" customWidth="1"/>
    <col min="11529" max="11529" width="16.109375" style="1" customWidth="1"/>
    <col min="11530" max="11530" width="14.109375" style="1" customWidth="1"/>
    <col min="11531" max="11531" width="13.33203125" style="1" customWidth="1"/>
    <col min="11532" max="11532" width="13.44140625" style="1" customWidth="1"/>
    <col min="11533" max="11776" width="9.109375" style="1"/>
    <col min="11777" max="11777" width="33.5546875" style="1" customWidth="1"/>
    <col min="11778" max="11778" width="17.88671875" style="1" customWidth="1"/>
    <col min="11779" max="11779" width="16.44140625" style="1" customWidth="1"/>
    <col min="11780" max="11780" width="13.33203125" style="1" customWidth="1"/>
    <col min="11781" max="11781" width="16.44140625" style="1" customWidth="1"/>
    <col min="11782" max="11782" width="15.44140625" style="1" customWidth="1"/>
    <col min="11783" max="11783" width="14.6640625" style="1" customWidth="1"/>
    <col min="11784" max="11784" width="19" style="1" customWidth="1"/>
    <col min="11785" max="11785" width="16.109375" style="1" customWidth="1"/>
    <col min="11786" max="11786" width="14.109375" style="1" customWidth="1"/>
    <col min="11787" max="11787" width="13.33203125" style="1" customWidth="1"/>
    <col min="11788" max="11788" width="13.44140625" style="1" customWidth="1"/>
    <col min="11789" max="12032" width="9.109375" style="1"/>
    <col min="12033" max="12033" width="33.5546875" style="1" customWidth="1"/>
    <col min="12034" max="12034" width="17.88671875" style="1" customWidth="1"/>
    <col min="12035" max="12035" width="16.44140625" style="1" customWidth="1"/>
    <col min="12036" max="12036" width="13.33203125" style="1" customWidth="1"/>
    <col min="12037" max="12037" width="16.44140625" style="1" customWidth="1"/>
    <col min="12038" max="12038" width="15.44140625" style="1" customWidth="1"/>
    <col min="12039" max="12039" width="14.6640625" style="1" customWidth="1"/>
    <col min="12040" max="12040" width="19" style="1" customWidth="1"/>
    <col min="12041" max="12041" width="16.109375" style="1" customWidth="1"/>
    <col min="12042" max="12042" width="14.109375" style="1" customWidth="1"/>
    <col min="12043" max="12043" width="13.33203125" style="1" customWidth="1"/>
    <col min="12044" max="12044" width="13.44140625" style="1" customWidth="1"/>
    <col min="12045" max="12288" width="9.109375" style="1"/>
    <col min="12289" max="12289" width="33.5546875" style="1" customWidth="1"/>
    <col min="12290" max="12290" width="17.88671875" style="1" customWidth="1"/>
    <col min="12291" max="12291" width="16.44140625" style="1" customWidth="1"/>
    <col min="12292" max="12292" width="13.33203125" style="1" customWidth="1"/>
    <col min="12293" max="12293" width="16.44140625" style="1" customWidth="1"/>
    <col min="12294" max="12294" width="15.44140625" style="1" customWidth="1"/>
    <col min="12295" max="12295" width="14.6640625" style="1" customWidth="1"/>
    <col min="12296" max="12296" width="19" style="1" customWidth="1"/>
    <col min="12297" max="12297" width="16.109375" style="1" customWidth="1"/>
    <col min="12298" max="12298" width="14.109375" style="1" customWidth="1"/>
    <col min="12299" max="12299" width="13.33203125" style="1" customWidth="1"/>
    <col min="12300" max="12300" width="13.44140625" style="1" customWidth="1"/>
    <col min="12301" max="12544" width="9.109375" style="1"/>
    <col min="12545" max="12545" width="33.5546875" style="1" customWidth="1"/>
    <col min="12546" max="12546" width="17.88671875" style="1" customWidth="1"/>
    <col min="12547" max="12547" width="16.44140625" style="1" customWidth="1"/>
    <col min="12548" max="12548" width="13.33203125" style="1" customWidth="1"/>
    <col min="12549" max="12549" width="16.44140625" style="1" customWidth="1"/>
    <col min="12550" max="12550" width="15.44140625" style="1" customWidth="1"/>
    <col min="12551" max="12551" width="14.6640625" style="1" customWidth="1"/>
    <col min="12552" max="12552" width="19" style="1" customWidth="1"/>
    <col min="12553" max="12553" width="16.109375" style="1" customWidth="1"/>
    <col min="12554" max="12554" width="14.109375" style="1" customWidth="1"/>
    <col min="12555" max="12555" width="13.33203125" style="1" customWidth="1"/>
    <col min="12556" max="12556" width="13.44140625" style="1" customWidth="1"/>
    <col min="12557" max="12800" width="9.109375" style="1"/>
    <col min="12801" max="12801" width="33.5546875" style="1" customWidth="1"/>
    <col min="12802" max="12802" width="17.88671875" style="1" customWidth="1"/>
    <col min="12803" max="12803" width="16.44140625" style="1" customWidth="1"/>
    <col min="12804" max="12804" width="13.33203125" style="1" customWidth="1"/>
    <col min="12805" max="12805" width="16.44140625" style="1" customWidth="1"/>
    <col min="12806" max="12806" width="15.44140625" style="1" customWidth="1"/>
    <col min="12807" max="12807" width="14.6640625" style="1" customWidth="1"/>
    <col min="12808" max="12808" width="19" style="1" customWidth="1"/>
    <col min="12809" max="12809" width="16.109375" style="1" customWidth="1"/>
    <col min="12810" max="12810" width="14.109375" style="1" customWidth="1"/>
    <col min="12811" max="12811" width="13.33203125" style="1" customWidth="1"/>
    <col min="12812" max="12812" width="13.44140625" style="1" customWidth="1"/>
    <col min="12813" max="13056" width="9.109375" style="1"/>
    <col min="13057" max="13057" width="33.5546875" style="1" customWidth="1"/>
    <col min="13058" max="13058" width="17.88671875" style="1" customWidth="1"/>
    <col min="13059" max="13059" width="16.44140625" style="1" customWidth="1"/>
    <col min="13060" max="13060" width="13.33203125" style="1" customWidth="1"/>
    <col min="13061" max="13061" width="16.44140625" style="1" customWidth="1"/>
    <col min="13062" max="13062" width="15.44140625" style="1" customWidth="1"/>
    <col min="13063" max="13063" width="14.6640625" style="1" customWidth="1"/>
    <col min="13064" max="13064" width="19" style="1" customWidth="1"/>
    <col min="13065" max="13065" width="16.109375" style="1" customWidth="1"/>
    <col min="13066" max="13066" width="14.109375" style="1" customWidth="1"/>
    <col min="13067" max="13067" width="13.33203125" style="1" customWidth="1"/>
    <col min="13068" max="13068" width="13.44140625" style="1" customWidth="1"/>
    <col min="13069" max="13312" width="9.109375" style="1"/>
    <col min="13313" max="13313" width="33.5546875" style="1" customWidth="1"/>
    <col min="13314" max="13314" width="17.88671875" style="1" customWidth="1"/>
    <col min="13315" max="13315" width="16.44140625" style="1" customWidth="1"/>
    <col min="13316" max="13316" width="13.33203125" style="1" customWidth="1"/>
    <col min="13317" max="13317" width="16.44140625" style="1" customWidth="1"/>
    <col min="13318" max="13318" width="15.44140625" style="1" customWidth="1"/>
    <col min="13319" max="13319" width="14.6640625" style="1" customWidth="1"/>
    <col min="13320" max="13320" width="19" style="1" customWidth="1"/>
    <col min="13321" max="13321" width="16.109375" style="1" customWidth="1"/>
    <col min="13322" max="13322" width="14.109375" style="1" customWidth="1"/>
    <col min="13323" max="13323" width="13.33203125" style="1" customWidth="1"/>
    <col min="13324" max="13324" width="13.44140625" style="1" customWidth="1"/>
    <col min="13325" max="13568" width="9.109375" style="1"/>
    <col min="13569" max="13569" width="33.5546875" style="1" customWidth="1"/>
    <col min="13570" max="13570" width="17.88671875" style="1" customWidth="1"/>
    <col min="13571" max="13571" width="16.44140625" style="1" customWidth="1"/>
    <col min="13572" max="13572" width="13.33203125" style="1" customWidth="1"/>
    <col min="13573" max="13573" width="16.44140625" style="1" customWidth="1"/>
    <col min="13574" max="13574" width="15.44140625" style="1" customWidth="1"/>
    <col min="13575" max="13575" width="14.6640625" style="1" customWidth="1"/>
    <col min="13576" max="13576" width="19" style="1" customWidth="1"/>
    <col min="13577" max="13577" width="16.109375" style="1" customWidth="1"/>
    <col min="13578" max="13578" width="14.109375" style="1" customWidth="1"/>
    <col min="13579" max="13579" width="13.33203125" style="1" customWidth="1"/>
    <col min="13580" max="13580" width="13.44140625" style="1" customWidth="1"/>
    <col min="13581" max="13824" width="9.109375" style="1"/>
    <col min="13825" max="13825" width="33.5546875" style="1" customWidth="1"/>
    <col min="13826" max="13826" width="17.88671875" style="1" customWidth="1"/>
    <col min="13827" max="13827" width="16.44140625" style="1" customWidth="1"/>
    <col min="13828" max="13828" width="13.33203125" style="1" customWidth="1"/>
    <col min="13829" max="13829" width="16.44140625" style="1" customWidth="1"/>
    <col min="13830" max="13830" width="15.44140625" style="1" customWidth="1"/>
    <col min="13831" max="13831" width="14.6640625" style="1" customWidth="1"/>
    <col min="13832" max="13832" width="19" style="1" customWidth="1"/>
    <col min="13833" max="13833" width="16.109375" style="1" customWidth="1"/>
    <col min="13834" max="13834" width="14.109375" style="1" customWidth="1"/>
    <col min="13835" max="13835" width="13.33203125" style="1" customWidth="1"/>
    <col min="13836" max="13836" width="13.44140625" style="1" customWidth="1"/>
    <col min="13837" max="14080" width="9.109375" style="1"/>
    <col min="14081" max="14081" width="33.5546875" style="1" customWidth="1"/>
    <col min="14082" max="14082" width="17.88671875" style="1" customWidth="1"/>
    <col min="14083" max="14083" width="16.44140625" style="1" customWidth="1"/>
    <col min="14084" max="14084" width="13.33203125" style="1" customWidth="1"/>
    <col min="14085" max="14085" width="16.44140625" style="1" customWidth="1"/>
    <col min="14086" max="14086" width="15.44140625" style="1" customWidth="1"/>
    <col min="14087" max="14087" width="14.6640625" style="1" customWidth="1"/>
    <col min="14088" max="14088" width="19" style="1" customWidth="1"/>
    <col min="14089" max="14089" width="16.109375" style="1" customWidth="1"/>
    <col min="14090" max="14090" width="14.109375" style="1" customWidth="1"/>
    <col min="14091" max="14091" width="13.33203125" style="1" customWidth="1"/>
    <col min="14092" max="14092" width="13.44140625" style="1" customWidth="1"/>
    <col min="14093" max="14336" width="9.109375" style="1"/>
    <col min="14337" max="14337" width="33.5546875" style="1" customWidth="1"/>
    <col min="14338" max="14338" width="17.88671875" style="1" customWidth="1"/>
    <col min="14339" max="14339" width="16.44140625" style="1" customWidth="1"/>
    <col min="14340" max="14340" width="13.33203125" style="1" customWidth="1"/>
    <col min="14341" max="14341" width="16.44140625" style="1" customWidth="1"/>
    <col min="14342" max="14342" width="15.44140625" style="1" customWidth="1"/>
    <col min="14343" max="14343" width="14.6640625" style="1" customWidth="1"/>
    <col min="14344" max="14344" width="19" style="1" customWidth="1"/>
    <col min="14345" max="14345" width="16.109375" style="1" customWidth="1"/>
    <col min="14346" max="14346" width="14.109375" style="1" customWidth="1"/>
    <col min="14347" max="14347" width="13.33203125" style="1" customWidth="1"/>
    <col min="14348" max="14348" width="13.44140625" style="1" customWidth="1"/>
    <col min="14349" max="14592" width="9.109375" style="1"/>
    <col min="14593" max="14593" width="33.5546875" style="1" customWidth="1"/>
    <col min="14594" max="14594" width="17.88671875" style="1" customWidth="1"/>
    <col min="14595" max="14595" width="16.44140625" style="1" customWidth="1"/>
    <col min="14596" max="14596" width="13.33203125" style="1" customWidth="1"/>
    <col min="14597" max="14597" width="16.44140625" style="1" customWidth="1"/>
    <col min="14598" max="14598" width="15.44140625" style="1" customWidth="1"/>
    <col min="14599" max="14599" width="14.6640625" style="1" customWidth="1"/>
    <col min="14600" max="14600" width="19" style="1" customWidth="1"/>
    <col min="14601" max="14601" width="16.109375" style="1" customWidth="1"/>
    <col min="14602" max="14602" width="14.109375" style="1" customWidth="1"/>
    <col min="14603" max="14603" width="13.33203125" style="1" customWidth="1"/>
    <col min="14604" max="14604" width="13.44140625" style="1" customWidth="1"/>
    <col min="14605" max="14848" width="9.109375" style="1"/>
    <col min="14849" max="14849" width="33.5546875" style="1" customWidth="1"/>
    <col min="14850" max="14850" width="17.88671875" style="1" customWidth="1"/>
    <col min="14851" max="14851" width="16.44140625" style="1" customWidth="1"/>
    <col min="14852" max="14852" width="13.33203125" style="1" customWidth="1"/>
    <col min="14853" max="14853" width="16.44140625" style="1" customWidth="1"/>
    <col min="14854" max="14854" width="15.44140625" style="1" customWidth="1"/>
    <col min="14855" max="14855" width="14.6640625" style="1" customWidth="1"/>
    <col min="14856" max="14856" width="19" style="1" customWidth="1"/>
    <col min="14857" max="14857" width="16.109375" style="1" customWidth="1"/>
    <col min="14858" max="14858" width="14.109375" style="1" customWidth="1"/>
    <col min="14859" max="14859" width="13.33203125" style="1" customWidth="1"/>
    <col min="14860" max="14860" width="13.44140625" style="1" customWidth="1"/>
    <col min="14861" max="15104" width="9.109375" style="1"/>
    <col min="15105" max="15105" width="33.5546875" style="1" customWidth="1"/>
    <col min="15106" max="15106" width="17.88671875" style="1" customWidth="1"/>
    <col min="15107" max="15107" width="16.44140625" style="1" customWidth="1"/>
    <col min="15108" max="15108" width="13.33203125" style="1" customWidth="1"/>
    <col min="15109" max="15109" width="16.44140625" style="1" customWidth="1"/>
    <col min="15110" max="15110" width="15.44140625" style="1" customWidth="1"/>
    <col min="15111" max="15111" width="14.6640625" style="1" customWidth="1"/>
    <col min="15112" max="15112" width="19" style="1" customWidth="1"/>
    <col min="15113" max="15113" width="16.109375" style="1" customWidth="1"/>
    <col min="15114" max="15114" width="14.109375" style="1" customWidth="1"/>
    <col min="15115" max="15115" width="13.33203125" style="1" customWidth="1"/>
    <col min="15116" max="15116" width="13.44140625" style="1" customWidth="1"/>
    <col min="15117" max="15360" width="9.109375" style="1"/>
    <col min="15361" max="15361" width="33.5546875" style="1" customWidth="1"/>
    <col min="15362" max="15362" width="17.88671875" style="1" customWidth="1"/>
    <col min="15363" max="15363" width="16.44140625" style="1" customWidth="1"/>
    <col min="15364" max="15364" width="13.33203125" style="1" customWidth="1"/>
    <col min="15365" max="15365" width="16.44140625" style="1" customWidth="1"/>
    <col min="15366" max="15366" width="15.44140625" style="1" customWidth="1"/>
    <col min="15367" max="15367" width="14.6640625" style="1" customWidth="1"/>
    <col min="15368" max="15368" width="19" style="1" customWidth="1"/>
    <col min="15369" max="15369" width="16.109375" style="1" customWidth="1"/>
    <col min="15370" max="15370" width="14.109375" style="1" customWidth="1"/>
    <col min="15371" max="15371" width="13.33203125" style="1" customWidth="1"/>
    <col min="15372" max="15372" width="13.44140625" style="1" customWidth="1"/>
    <col min="15373" max="15616" width="9.109375" style="1"/>
    <col min="15617" max="15617" width="33.5546875" style="1" customWidth="1"/>
    <col min="15618" max="15618" width="17.88671875" style="1" customWidth="1"/>
    <col min="15619" max="15619" width="16.44140625" style="1" customWidth="1"/>
    <col min="15620" max="15620" width="13.33203125" style="1" customWidth="1"/>
    <col min="15621" max="15621" width="16.44140625" style="1" customWidth="1"/>
    <col min="15622" max="15622" width="15.44140625" style="1" customWidth="1"/>
    <col min="15623" max="15623" width="14.6640625" style="1" customWidth="1"/>
    <col min="15624" max="15624" width="19" style="1" customWidth="1"/>
    <col min="15625" max="15625" width="16.109375" style="1" customWidth="1"/>
    <col min="15626" max="15626" width="14.109375" style="1" customWidth="1"/>
    <col min="15627" max="15627" width="13.33203125" style="1" customWidth="1"/>
    <col min="15628" max="15628" width="13.44140625" style="1" customWidth="1"/>
    <col min="15629" max="15872" width="9.109375" style="1"/>
    <col min="15873" max="15873" width="33.5546875" style="1" customWidth="1"/>
    <col min="15874" max="15874" width="17.88671875" style="1" customWidth="1"/>
    <col min="15875" max="15875" width="16.44140625" style="1" customWidth="1"/>
    <col min="15876" max="15876" width="13.33203125" style="1" customWidth="1"/>
    <col min="15877" max="15877" width="16.44140625" style="1" customWidth="1"/>
    <col min="15878" max="15878" width="15.44140625" style="1" customWidth="1"/>
    <col min="15879" max="15879" width="14.6640625" style="1" customWidth="1"/>
    <col min="15880" max="15880" width="19" style="1" customWidth="1"/>
    <col min="15881" max="15881" width="16.109375" style="1" customWidth="1"/>
    <col min="15882" max="15882" width="14.109375" style="1" customWidth="1"/>
    <col min="15883" max="15883" width="13.33203125" style="1" customWidth="1"/>
    <col min="15884" max="15884" width="13.44140625" style="1" customWidth="1"/>
    <col min="15885" max="16128" width="9.109375" style="1"/>
    <col min="16129" max="16129" width="33.5546875" style="1" customWidth="1"/>
    <col min="16130" max="16130" width="17.88671875" style="1" customWidth="1"/>
    <col min="16131" max="16131" width="16.44140625" style="1" customWidth="1"/>
    <col min="16132" max="16132" width="13.33203125" style="1" customWidth="1"/>
    <col min="16133" max="16133" width="16.44140625" style="1" customWidth="1"/>
    <col min="16134" max="16134" width="15.44140625" style="1" customWidth="1"/>
    <col min="16135" max="16135" width="14.6640625" style="1" customWidth="1"/>
    <col min="16136" max="16136" width="19" style="1" customWidth="1"/>
    <col min="16137" max="16137" width="16.109375" style="1" customWidth="1"/>
    <col min="16138" max="16138" width="14.109375" style="1" customWidth="1"/>
    <col min="16139" max="16139" width="13.33203125" style="1" customWidth="1"/>
    <col min="16140" max="16140" width="13.44140625" style="1" customWidth="1"/>
    <col min="16141" max="16384" width="9.109375" style="1"/>
  </cols>
  <sheetData>
    <row r="1" spans="1:13" ht="15.6" x14ac:dyDescent="0.3">
      <c r="L1" s="91" t="s">
        <v>91</v>
      </c>
      <c r="M1" s="91"/>
    </row>
    <row r="2" spans="1:13" ht="15.6" x14ac:dyDescent="0.3">
      <c r="L2" s="18" t="s">
        <v>81</v>
      </c>
      <c r="M2" s="18"/>
    </row>
    <row r="3" spans="1:13" ht="15.6" x14ac:dyDescent="0.3">
      <c r="L3" s="18" t="s">
        <v>89</v>
      </c>
      <c r="M3" s="18"/>
    </row>
    <row r="4" spans="1:13" ht="20.399999999999999" x14ac:dyDescent="0.25">
      <c r="B4" s="85" t="s">
        <v>0</v>
      </c>
      <c r="C4" s="85"/>
      <c r="D4" s="85"/>
      <c r="E4" s="85"/>
      <c r="F4" s="85"/>
      <c r="G4" s="85"/>
      <c r="H4" s="85"/>
      <c r="I4" s="85"/>
      <c r="J4" s="85"/>
      <c r="K4" s="85"/>
    </row>
    <row r="5" spans="1:13" ht="20.399999999999999" x14ac:dyDescent="0.25">
      <c r="B5" s="85" t="s">
        <v>74</v>
      </c>
      <c r="C5" s="85"/>
      <c r="D5" s="85"/>
      <c r="E5" s="85"/>
      <c r="F5" s="85"/>
      <c r="G5" s="85"/>
      <c r="H5" s="85"/>
      <c r="I5" s="85"/>
      <c r="J5" s="85"/>
      <c r="K5" s="85"/>
    </row>
    <row r="6" spans="1:13" ht="36.75" customHeight="1" x14ac:dyDescent="0.25">
      <c r="B6" s="86" t="s">
        <v>56</v>
      </c>
      <c r="C6" s="86"/>
      <c r="D6" s="86"/>
      <c r="E6" s="86"/>
      <c r="F6" s="86"/>
      <c r="G6" s="86"/>
      <c r="H6" s="86"/>
      <c r="I6" s="86"/>
      <c r="J6" s="86"/>
      <c r="K6" s="86"/>
    </row>
    <row r="7" spans="1:13" ht="138" x14ac:dyDescent="0.25">
      <c r="A7" s="19" t="s">
        <v>1</v>
      </c>
      <c r="B7" s="19" t="s">
        <v>2</v>
      </c>
      <c r="C7" s="19" t="s">
        <v>66</v>
      </c>
      <c r="D7" s="19" t="s">
        <v>67</v>
      </c>
      <c r="E7" s="19" t="s">
        <v>3</v>
      </c>
      <c r="F7" s="19" t="s">
        <v>68</v>
      </c>
      <c r="G7" s="19" t="s">
        <v>69</v>
      </c>
      <c r="H7" s="19" t="s">
        <v>4</v>
      </c>
      <c r="I7" s="19" t="s">
        <v>5</v>
      </c>
      <c r="J7" s="19" t="s">
        <v>70</v>
      </c>
      <c r="K7" s="19" t="s">
        <v>71</v>
      </c>
      <c r="L7" s="19" t="s">
        <v>76</v>
      </c>
      <c r="M7" s="41" t="s">
        <v>57</v>
      </c>
    </row>
    <row r="8" spans="1:13" x14ac:dyDescent="0.25">
      <c r="A8" s="2" t="s">
        <v>6</v>
      </c>
      <c r="B8" s="2" t="s">
        <v>7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40"/>
    </row>
    <row r="9" spans="1:13" ht="36" x14ac:dyDescent="0.25">
      <c r="A9" s="69">
        <v>1</v>
      </c>
      <c r="B9" s="28" t="s">
        <v>8</v>
      </c>
      <c r="C9" s="3">
        <v>34.04</v>
      </c>
      <c r="D9" s="3">
        <v>46.81</v>
      </c>
      <c r="E9" s="72" t="s">
        <v>9</v>
      </c>
      <c r="F9" s="80">
        <v>4.67</v>
      </c>
      <c r="G9" s="80">
        <v>4.67</v>
      </c>
      <c r="H9" s="3" t="s">
        <v>10</v>
      </c>
      <c r="I9" s="3">
        <f>G9-F9</f>
        <v>0</v>
      </c>
      <c r="J9" s="39">
        <f>C9*F9*3</f>
        <v>476.90039999999999</v>
      </c>
      <c r="K9" s="39">
        <f>D9*G9*3</f>
        <v>655.80809999999997</v>
      </c>
      <c r="L9" s="76">
        <f>(K9+K10)/(J9+J10)*100</f>
        <v>137.51468860164513</v>
      </c>
      <c r="M9" s="40">
        <f>G9/F9*100</f>
        <v>100</v>
      </c>
    </row>
    <row r="10" spans="1:13" ht="36" x14ac:dyDescent="0.25">
      <c r="A10" s="70"/>
      <c r="B10" s="28" t="s">
        <v>12</v>
      </c>
      <c r="C10" s="3">
        <v>34.04</v>
      </c>
      <c r="D10" s="3">
        <v>46.81</v>
      </c>
      <c r="E10" s="87"/>
      <c r="F10" s="81"/>
      <c r="G10" s="81"/>
      <c r="H10" s="3" t="s">
        <v>35</v>
      </c>
      <c r="I10" s="3">
        <v>0</v>
      </c>
      <c r="J10" s="39">
        <v>0</v>
      </c>
      <c r="K10" s="39">
        <v>0</v>
      </c>
      <c r="L10" s="77"/>
      <c r="M10" s="40"/>
    </row>
    <row r="11" spans="1:13" ht="18" x14ac:dyDescent="0.25">
      <c r="A11" s="71"/>
      <c r="B11" s="28" t="s">
        <v>39</v>
      </c>
      <c r="C11" s="3">
        <v>34.04</v>
      </c>
      <c r="D11" s="3">
        <v>46.81</v>
      </c>
      <c r="E11" s="73"/>
      <c r="F11" s="20">
        <v>0</v>
      </c>
      <c r="G11" s="20">
        <v>0</v>
      </c>
      <c r="H11" s="3"/>
      <c r="I11" s="3">
        <f>G11-F11</f>
        <v>0</v>
      </c>
      <c r="J11" s="39">
        <v>0</v>
      </c>
      <c r="K11" s="39">
        <v>0</v>
      </c>
      <c r="L11" s="4">
        <v>0</v>
      </c>
      <c r="M11" s="40"/>
    </row>
    <row r="12" spans="1:13" ht="36" x14ac:dyDescent="0.25">
      <c r="A12" s="69">
        <v>2</v>
      </c>
      <c r="B12" s="28" t="s">
        <v>15</v>
      </c>
      <c r="C12" s="3">
        <v>129.56</v>
      </c>
      <c r="D12" s="3">
        <v>155.9</v>
      </c>
      <c r="E12" s="72" t="s">
        <v>9</v>
      </c>
      <c r="F12" s="74">
        <v>2.48</v>
      </c>
      <c r="G12" s="83">
        <v>2.48</v>
      </c>
      <c r="H12" s="3" t="s">
        <v>10</v>
      </c>
      <c r="I12" s="3">
        <f>G12-F12</f>
        <v>0</v>
      </c>
      <c r="J12" s="39">
        <f>C12*F12*3</f>
        <v>963.92640000000006</v>
      </c>
      <c r="K12" s="39">
        <f>D12*G12*3</f>
        <v>1159.896</v>
      </c>
      <c r="L12" s="76">
        <f>(K12+K13)/(J12+J13)*100</f>
        <v>120.33034887310899</v>
      </c>
      <c r="M12" s="40">
        <f t="shared" ref="M12:M19" si="0">G12/F12*100</f>
        <v>100</v>
      </c>
    </row>
    <row r="13" spans="1:13" ht="36" x14ac:dyDescent="0.25">
      <c r="A13" s="70"/>
      <c r="B13" s="28" t="s">
        <v>16</v>
      </c>
      <c r="C13" s="3">
        <v>129.56</v>
      </c>
      <c r="D13" s="3">
        <v>155.9</v>
      </c>
      <c r="E13" s="73"/>
      <c r="F13" s="75"/>
      <c r="G13" s="84"/>
      <c r="H13" s="3" t="s">
        <v>35</v>
      </c>
      <c r="I13" s="3">
        <v>0</v>
      </c>
      <c r="J13" s="39">
        <f>C13*F12*52/12</f>
        <v>1392.3381333333334</v>
      </c>
      <c r="K13" s="39">
        <f>D13*G12*52/12</f>
        <v>1675.4053333333334</v>
      </c>
      <c r="L13" s="77"/>
      <c r="M13" s="40"/>
    </row>
    <row r="14" spans="1:13" ht="18" x14ac:dyDescent="0.25">
      <c r="A14" s="71"/>
      <c r="B14" s="28" t="s">
        <v>40</v>
      </c>
      <c r="C14" s="3">
        <v>129.56</v>
      </c>
      <c r="D14" s="3">
        <v>155.9</v>
      </c>
      <c r="E14" s="37"/>
      <c r="F14" s="21"/>
      <c r="G14" s="21"/>
      <c r="H14" s="3"/>
      <c r="I14" s="3"/>
      <c r="J14" s="39">
        <v>0</v>
      </c>
      <c r="K14" s="39">
        <v>0</v>
      </c>
      <c r="L14" s="35">
        <v>0</v>
      </c>
      <c r="M14" s="40"/>
    </row>
    <row r="15" spans="1:13" ht="36" x14ac:dyDescent="0.25">
      <c r="A15" s="69">
        <v>3</v>
      </c>
      <c r="B15" s="28" t="s">
        <v>17</v>
      </c>
      <c r="C15" s="3">
        <v>34.159999999999997</v>
      </c>
      <c r="D15" s="3">
        <v>46.54</v>
      </c>
      <c r="E15" s="72" t="s">
        <v>9</v>
      </c>
      <c r="F15" s="80" t="s">
        <v>47</v>
      </c>
      <c r="G15" s="80"/>
      <c r="H15" s="3" t="s">
        <v>10</v>
      </c>
      <c r="I15" s="3">
        <v>0</v>
      </c>
      <c r="J15" s="39">
        <v>0</v>
      </c>
      <c r="K15" s="39">
        <v>0</v>
      </c>
      <c r="L15" s="76"/>
      <c r="M15" s="40"/>
    </row>
    <row r="16" spans="1:13" ht="18" x14ac:dyDescent="0.25">
      <c r="A16" s="71"/>
      <c r="B16" s="28" t="s">
        <v>18</v>
      </c>
      <c r="C16" s="3">
        <v>34.159999999999997</v>
      </c>
      <c r="D16" s="3">
        <v>46.54</v>
      </c>
      <c r="E16" s="73"/>
      <c r="F16" s="81"/>
      <c r="G16" s="81"/>
      <c r="H16" s="3" t="s">
        <v>35</v>
      </c>
      <c r="I16" s="3">
        <v>0</v>
      </c>
      <c r="J16" s="39"/>
      <c r="K16" s="39"/>
      <c r="L16" s="77"/>
      <c r="M16" s="40"/>
    </row>
    <row r="17" spans="1:13" ht="36" x14ac:dyDescent="0.25">
      <c r="A17" s="69">
        <v>4</v>
      </c>
      <c r="B17" s="28" t="s">
        <v>19</v>
      </c>
      <c r="C17" s="3">
        <v>1347.49</v>
      </c>
      <c r="D17" s="3">
        <v>1517.3</v>
      </c>
      <c r="E17" s="72" t="s">
        <v>20</v>
      </c>
      <c r="F17" s="80">
        <v>4.1700000000000001E-2</v>
      </c>
      <c r="G17" s="80">
        <v>4.1700000000000001E-2</v>
      </c>
      <c r="H17" s="3" t="s">
        <v>21</v>
      </c>
      <c r="I17" s="3">
        <f>G17-F17</f>
        <v>0</v>
      </c>
      <c r="J17" s="39">
        <f>C17*F17*C27</f>
        <v>2455.5175521000001</v>
      </c>
      <c r="K17" s="39">
        <f>D17*G17*C27</f>
        <v>2764.9606170000002</v>
      </c>
      <c r="L17" s="76">
        <f>(K17+K18)/(J17+J18)*100</f>
        <v>112.60194880852548</v>
      </c>
      <c r="M17" s="42">
        <f t="shared" si="0"/>
        <v>100</v>
      </c>
    </row>
    <row r="18" spans="1:13" ht="18" x14ac:dyDescent="0.25">
      <c r="A18" s="71"/>
      <c r="B18" s="28" t="s">
        <v>22</v>
      </c>
      <c r="C18" s="3">
        <v>1347.49</v>
      </c>
      <c r="D18" s="3">
        <v>1517.3</v>
      </c>
      <c r="E18" s="73"/>
      <c r="F18" s="81"/>
      <c r="G18" s="81"/>
      <c r="H18" s="3" t="s">
        <v>36</v>
      </c>
      <c r="I18" s="3">
        <v>0</v>
      </c>
      <c r="J18" s="39">
        <v>0</v>
      </c>
      <c r="K18" s="39">
        <v>0</v>
      </c>
      <c r="L18" s="77"/>
      <c r="M18" s="40"/>
    </row>
    <row r="19" spans="1:13" ht="36" x14ac:dyDescent="0.25">
      <c r="A19" s="69">
        <v>5</v>
      </c>
      <c r="B19" s="28" t="s">
        <v>23</v>
      </c>
      <c r="C19" s="3">
        <v>1.71</v>
      </c>
      <c r="D19" s="64">
        <v>1.855</v>
      </c>
      <c r="E19" s="72" t="s">
        <v>24</v>
      </c>
      <c r="F19" s="74">
        <v>108</v>
      </c>
      <c r="G19" s="74">
        <v>108</v>
      </c>
      <c r="H19" s="3" t="s">
        <v>25</v>
      </c>
      <c r="I19" s="3">
        <f>G19-F19</f>
        <v>0</v>
      </c>
      <c r="J19" s="39">
        <v>0</v>
      </c>
      <c r="K19" s="39">
        <v>0</v>
      </c>
      <c r="L19" s="76">
        <f>(K19+K20)/(J19+J20)*100</f>
        <v>108.47953216374269</v>
      </c>
      <c r="M19" s="40">
        <f t="shared" si="0"/>
        <v>100</v>
      </c>
    </row>
    <row r="20" spans="1:13" ht="36" x14ac:dyDescent="0.25">
      <c r="A20" s="70"/>
      <c r="B20" s="28" t="s">
        <v>26</v>
      </c>
      <c r="C20" s="3">
        <v>1.71</v>
      </c>
      <c r="D20" s="64">
        <v>1.855</v>
      </c>
      <c r="E20" s="73"/>
      <c r="F20" s="75"/>
      <c r="G20" s="75"/>
      <c r="H20" s="3" t="s">
        <v>37</v>
      </c>
      <c r="I20" s="3">
        <v>0</v>
      </c>
      <c r="J20" s="39">
        <f>C20*F19*C26</f>
        <v>554.04</v>
      </c>
      <c r="K20" s="39">
        <f>D20*G19*C26</f>
        <v>601.02</v>
      </c>
      <c r="L20" s="77"/>
      <c r="M20" s="40"/>
    </row>
    <row r="21" spans="1:13" ht="18" x14ac:dyDescent="0.25">
      <c r="A21" s="71"/>
      <c r="B21" s="28" t="s">
        <v>41</v>
      </c>
      <c r="C21" s="3">
        <v>1.71</v>
      </c>
      <c r="D21" s="64">
        <v>1.855</v>
      </c>
      <c r="E21" s="37"/>
      <c r="F21" s="21">
        <v>0</v>
      </c>
      <c r="G21" s="21">
        <v>0</v>
      </c>
      <c r="H21" s="3"/>
      <c r="I21" s="3">
        <v>0</v>
      </c>
      <c r="J21" s="39"/>
      <c r="K21" s="39"/>
      <c r="L21" s="4"/>
      <c r="M21" s="40"/>
    </row>
    <row r="22" spans="1:13" ht="36" x14ac:dyDescent="0.25">
      <c r="A22" s="69">
        <v>6</v>
      </c>
      <c r="B22" s="28" t="s">
        <v>27</v>
      </c>
      <c r="C22" s="3" t="s">
        <v>44</v>
      </c>
      <c r="D22" s="3"/>
      <c r="E22" s="72" t="s">
        <v>28</v>
      </c>
      <c r="F22" s="74"/>
      <c r="G22" s="74"/>
      <c r="H22" s="3" t="s">
        <v>29</v>
      </c>
      <c r="I22" s="3"/>
      <c r="J22" s="39" t="s">
        <v>42</v>
      </c>
      <c r="K22" s="39" t="s">
        <v>43</v>
      </c>
      <c r="L22" s="78"/>
      <c r="M22" s="40"/>
    </row>
    <row r="23" spans="1:13" ht="31.2" x14ac:dyDescent="0.25">
      <c r="A23" s="71"/>
      <c r="B23" s="28" t="s">
        <v>30</v>
      </c>
      <c r="C23" s="3" t="s">
        <v>44</v>
      </c>
      <c r="D23" s="3"/>
      <c r="E23" s="73"/>
      <c r="F23" s="75"/>
      <c r="G23" s="75"/>
      <c r="H23" s="3" t="s">
        <v>38</v>
      </c>
      <c r="I23" s="3">
        <v>0</v>
      </c>
      <c r="J23" s="39" t="s">
        <v>13</v>
      </c>
      <c r="K23" s="39" t="s">
        <v>14</v>
      </c>
      <c r="L23" s="79"/>
      <c r="M23" s="40"/>
    </row>
    <row r="24" spans="1:13" ht="15.6" x14ac:dyDescent="0.25">
      <c r="A24" s="66" t="s">
        <v>31</v>
      </c>
      <c r="B24" s="67"/>
      <c r="C24" s="5" t="s">
        <v>11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  <c r="J24" s="47">
        <f>J9+J12+J17+J20</f>
        <v>4450.3843520999999</v>
      </c>
      <c r="K24" s="47">
        <f>K9+K12+K17+K20</f>
        <v>5181.6847170000001</v>
      </c>
      <c r="L24" s="47">
        <f>K24/J24*100</f>
        <v>116.43229678701621</v>
      </c>
      <c r="M24" s="40"/>
    </row>
    <row r="26" spans="1:13" ht="31.2" x14ac:dyDescent="0.25">
      <c r="B26" s="7" t="s">
        <v>32</v>
      </c>
      <c r="C26" s="8">
        <v>3</v>
      </c>
    </row>
    <row r="27" spans="1:13" ht="15.6" x14ac:dyDescent="0.25">
      <c r="B27" s="7" t="s">
        <v>33</v>
      </c>
      <c r="C27" s="8">
        <v>43.7</v>
      </c>
    </row>
    <row r="28" spans="1:13" ht="46.8" x14ac:dyDescent="0.25">
      <c r="B28" s="7" t="s">
        <v>80</v>
      </c>
      <c r="C28" s="26">
        <f>J24</f>
        <v>4450.3843520999999</v>
      </c>
    </row>
    <row r="29" spans="1:13" ht="46.8" x14ac:dyDescent="0.25">
      <c r="B29" s="7" t="s">
        <v>79</v>
      </c>
      <c r="C29" s="26">
        <f>K24</f>
        <v>5181.6847170000001</v>
      </c>
    </row>
    <row r="30" spans="1:13" ht="15.6" x14ac:dyDescent="0.25">
      <c r="B30" s="9"/>
      <c r="C30" s="32"/>
    </row>
    <row r="31" spans="1:13" ht="15.6" x14ac:dyDescent="0.25">
      <c r="A31" s="52"/>
      <c r="B31" s="9"/>
      <c r="C31" s="10"/>
    </row>
    <row r="32" spans="1:13" ht="27.6" hidden="1" x14ac:dyDescent="0.45">
      <c r="A32" s="50"/>
      <c r="B32" s="59" t="s">
        <v>59</v>
      </c>
      <c r="C32" s="11"/>
      <c r="D32" s="12"/>
      <c r="E32" s="13"/>
      <c r="F32" s="12"/>
      <c r="G32" s="13" t="s">
        <v>61</v>
      </c>
      <c r="H32" s="12"/>
      <c r="I32" s="50"/>
      <c r="J32" s="50"/>
      <c r="K32" s="50"/>
      <c r="L32" s="50"/>
      <c r="M32" s="52"/>
    </row>
    <row r="33" spans="1:13" ht="22.8" hidden="1" x14ac:dyDescent="0.4">
      <c r="A33" s="61"/>
      <c r="B33" s="12"/>
      <c r="C33" s="12"/>
      <c r="D33" s="12"/>
      <c r="E33" s="14" t="s">
        <v>34</v>
      </c>
      <c r="F33" s="12"/>
      <c r="G33" s="12" t="s">
        <v>62</v>
      </c>
      <c r="H33" s="12"/>
      <c r="I33" s="61"/>
      <c r="J33" s="61"/>
      <c r="K33" s="61"/>
      <c r="L33" s="61"/>
      <c r="M33" s="52"/>
    </row>
    <row r="34" spans="1:13" ht="18" hidden="1" x14ac:dyDescent="0.35">
      <c r="A34" s="52"/>
      <c r="B34" s="12"/>
      <c r="C34" s="12"/>
      <c r="D34" s="12"/>
      <c r="E34" s="14"/>
      <c r="F34" s="12"/>
      <c r="G34" s="12"/>
      <c r="H34" s="12"/>
    </row>
    <row r="35" spans="1:13" hidden="1" x14ac:dyDescent="0.25"/>
    <row r="36" spans="1:13" hidden="1" x14ac:dyDescent="0.25">
      <c r="B36" s="15" t="s">
        <v>58</v>
      </c>
    </row>
    <row r="37" spans="1:13" hidden="1" x14ac:dyDescent="0.25">
      <c r="B37" s="15" t="s">
        <v>50</v>
      </c>
    </row>
  </sheetData>
  <mergeCells count="35">
    <mergeCell ref="B4:K4"/>
    <mergeCell ref="B5:K5"/>
    <mergeCell ref="B6:K6"/>
    <mergeCell ref="A9:A11"/>
    <mergeCell ref="E9:E11"/>
    <mergeCell ref="F9:F10"/>
    <mergeCell ref="G9:G10"/>
    <mergeCell ref="L9:L10"/>
    <mergeCell ref="A12:A14"/>
    <mergeCell ref="E12:E13"/>
    <mergeCell ref="F12:F13"/>
    <mergeCell ref="G12:G13"/>
    <mergeCell ref="L12:L13"/>
    <mergeCell ref="L15:L16"/>
    <mergeCell ref="A17:A18"/>
    <mergeCell ref="E17:E18"/>
    <mergeCell ref="F17:F18"/>
    <mergeCell ref="G17:G18"/>
    <mergeCell ref="L17:L18"/>
    <mergeCell ref="L1:M1"/>
    <mergeCell ref="A24:B24"/>
    <mergeCell ref="A19:A21"/>
    <mergeCell ref="E19:E20"/>
    <mergeCell ref="F19:F20"/>
    <mergeCell ref="G19:G20"/>
    <mergeCell ref="L19:L20"/>
    <mergeCell ref="A22:A23"/>
    <mergeCell ref="E22:E23"/>
    <mergeCell ref="F22:F23"/>
    <mergeCell ref="G22:G23"/>
    <mergeCell ref="L22:L23"/>
    <mergeCell ref="A15:A16"/>
    <mergeCell ref="E15:E16"/>
    <mergeCell ref="F15:F16"/>
    <mergeCell ref="G15:G16"/>
  </mergeCells>
  <pageMargins left="0.78740157480314965" right="0.39370078740157483" top="1.3779527559055118" bottom="0.78740157480314965" header="0.31496062992125984" footer="0.31496062992125984"/>
  <pageSetup paperSize="9" scale="53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общ. Бак.13 без норм.</vt:lpstr>
      <vt:lpstr>общ. Ком.6 без норм.</vt:lpstr>
      <vt:lpstr>КПД- 1,2 эт.</vt:lpstr>
      <vt:lpstr>КПД до 1999</vt:lpstr>
      <vt:lpstr>КПД после 1999</vt:lpstr>
      <vt:lpstr>ДЖД</vt:lpstr>
      <vt:lpstr>балки длина 1550</vt:lpstr>
      <vt:lpstr>вагон-городок с мойками</vt:lpstr>
      <vt:lpstr>вагон-городок с сид.ваннами</vt:lpstr>
      <vt:lpstr>частный сектор</vt:lpstr>
      <vt:lpstr>'общ. Ком.6 без норм.'!Область_печати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Анжелика Леонидовна</dc:creator>
  <cp:lastModifiedBy>Цуглевич Ольга Сергеевна</cp:lastModifiedBy>
  <cp:lastPrinted>2015-10-23T11:39:13Z</cp:lastPrinted>
  <dcterms:created xsi:type="dcterms:W3CDTF">2014-05-20T05:48:45Z</dcterms:created>
  <dcterms:modified xsi:type="dcterms:W3CDTF">2015-10-23T11:41:12Z</dcterms:modified>
</cp:coreProperties>
</file>