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75" windowWidth="15345" windowHeight="11460" tabRatio="942"/>
  </bookViews>
  <sheets>
    <sheet name="СВОД" sheetId="1" r:id="rId1"/>
    <sheet name="непрограммные расходы" sheetId="2" r:id="rId2"/>
    <sheet name="01_молодежная политика" sheetId="3" r:id="rId3"/>
    <sheet name="02_летний отдых" sheetId="4" r:id="rId4"/>
    <sheet name="03_УМТО" sheetId="5" r:id="rId5"/>
    <sheet name="04_ развитие сферы культуры" sheetId="6" r:id="rId6"/>
    <sheet name="05_ развитие муниц.службы" sheetId="7" r:id="rId7"/>
    <sheet name="06_ охрана труда" sheetId="8" r:id="rId8"/>
    <sheet name="07_равитие жил.сферы" sheetId="9" r:id="rId9"/>
    <sheet name="08_ профилактикаТиЭ" sheetId="10" r:id="rId10"/>
    <sheet name="09_ поддержка СМП" sheetId="11" r:id="rId11"/>
    <sheet name="10_градостроительная деят" sheetId="12" r:id="rId12"/>
    <sheet name="11_проводействие коррупц" sheetId="13" r:id="rId13"/>
    <sheet name="12_информирование" sheetId="14" r:id="rId14"/>
    <sheet name="13_ управление имуществом" sheetId="15" r:id="rId15"/>
    <sheet name="14_ управление муниц.финансами" sheetId="16" r:id="rId16"/>
    <sheet name="15_транспортная" sheetId="17" r:id="rId17"/>
    <sheet name="16_ обеспеч. жильем молодых " sheetId="18" r:id="rId18"/>
    <sheet name="17_ развитие физ.и спорта" sheetId="19" r:id="rId19"/>
    <sheet name="18_ отд.полн.в сфере опеки" sheetId="20" r:id="rId20"/>
    <sheet name="19_поддержка СОНО" sheetId="21" r:id="rId21"/>
    <sheet name="20_ развитие ЖКХ" sheetId="22" r:id="rId22"/>
    <sheet name="22_ ОБЖ" sheetId="23" r:id="rId23"/>
    <sheet name="23_ликвид. приспособ.строений" sheetId="24" r:id="rId24"/>
    <sheet name="24_ эколог.без-ть)" sheetId="25" r:id="rId25"/>
    <sheet name="27_ информац.общество" sheetId="26" r:id="rId26"/>
    <sheet name="28_ развитие образования" sheetId="27" r:id="rId27"/>
    <sheet name="29_ФСГС" sheetId="28" r:id="rId28"/>
    <sheet name="33_ доступ.маломобильных" sheetId="29" r:id="rId29"/>
    <sheet name="лист" sheetId="30" r:id="rId30"/>
    <sheet name="лист (2)" sheetId="31" r:id="rId31"/>
  </sheets>
  <definedNames>
    <definedName name="Z_018285DA_3408_490C_ABEC_1F81E9B027B8_.wvu.PrintArea" localSheetId="0" hidden="1">СВОД!$A$1:$U$29</definedName>
    <definedName name="Z_018285DA_3408_490C_ABEC_1F81E9B027B8_.wvu.PrintTitles" localSheetId="2" hidden="1">'01_молодежная политика'!$8:$11</definedName>
    <definedName name="Z_018285DA_3408_490C_ABEC_1F81E9B027B8_.wvu.PrintTitles" localSheetId="3" hidden="1">'02_летний отдых'!$8:$11</definedName>
    <definedName name="Z_018285DA_3408_490C_ABEC_1F81E9B027B8_.wvu.PrintTitles" localSheetId="4" hidden="1">'03_УМТО'!$8:$11</definedName>
    <definedName name="Z_018285DA_3408_490C_ABEC_1F81E9B027B8_.wvu.PrintTitles" localSheetId="5" hidden="1">'04_ развитие сферы культуры'!$8:$11</definedName>
    <definedName name="Z_018285DA_3408_490C_ABEC_1F81E9B027B8_.wvu.PrintTitles" localSheetId="6" hidden="1">'05_ развитие муниц.службы'!$8:$11</definedName>
    <definedName name="Z_018285DA_3408_490C_ABEC_1F81E9B027B8_.wvu.PrintTitles" localSheetId="7" hidden="1">'06_ охрана труда'!$8:$11</definedName>
    <definedName name="Z_018285DA_3408_490C_ABEC_1F81E9B027B8_.wvu.PrintTitles" localSheetId="8" hidden="1">'07_равитие жил.сферы'!$8:$11</definedName>
    <definedName name="Z_018285DA_3408_490C_ABEC_1F81E9B027B8_.wvu.PrintTitles" localSheetId="9" hidden="1">'08_ профилактикаТиЭ'!$8:$11</definedName>
    <definedName name="Z_018285DA_3408_490C_ABEC_1F81E9B027B8_.wvu.PrintTitles" localSheetId="10" hidden="1">'09_ поддержка СМП'!$8:$11</definedName>
    <definedName name="Z_018285DA_3408_490C_ABEC_1F81E9B027B8_.wvu.PrintTitles" localSheetId="11" hidden="1">'10_градостроительная деят'!$8:$11</definedName>
    <definedName name="Z_018285DA_3408_490C_ABEC_1F81E9B027B8_.wvu.PrintTitles" localSheetId="12" hidden="1">'11_проводействие коррупц'!$8:$11</definedName>
    <definedName name="Z_018285DA_3408_490C_ABEC_1F81E9B027B8_.wvu.PrintTitles" localSheetId="13" hidden="1">'12_информирование'!$8:$11</definedName>
    <definedName name="Z_018285DA_3408_490C_ABEC_1F81E9B027B8_.wvu.PrintTitles" localSheetId="14" hidden="1">'13_ управление имуществом'!$8:$11</definedName>
    <definedName name="Z_018285DA_3408_490C_ABEC_1F81E9B027B8_.wvu.PrintTitles" localSheetId="15" hidden="1">'14_ управление муниц.финансами'!$8:$11</definedName>
    <definedName name="Z_018285DA_3408_490C_ABEC_1F81E9B027B8_.wvu.PrintTitles" localSheetId="16" hidden="1">'15_транспортная'!$8:$11</definedName>
    <definedName name="Z_018285DA_3408_490C_ABEC_1F81E9B027B8_.wvu.PrintTitles" localSheetId="17" hidden="1">'16_ обеспеч. жильем молодых '!$8:$11</definedName>
    <definedName name="Z_018285DA_3408_490C_ABEC_1F81E9B027B8_.wvu.PrintTitles" localSheetId="18" hidden="1">'17_ развитие физ.и спорта'!$8:$11</definedName>
    <definedName name="Z_018285DA_3408_490C_ABEC_1F81E9B027B8_.wvu.PrintTitles" localSheetId="19" hidden="1">'18_ отд.полн.в сфере опеки'!$8:$11</definedName>
    <definedName name="Z_018285DA_3408_490C_ABEC_1F81E9B027B8_.wvu.PrintTitles" localSheetId="20" hidden="1">'19_поддержка СОНО'!$8:$11</definedName>
    <definedName name="Z_018285DA_3408_490C_ABEC_1F81E9B027B8_.wvu.PrintTitles" localSheetId="21" hidden="1">'20_ развитие ЖКХ'!$8:$11</definedName>
    <definedName name="Z_018285DA_3408_490C_ABEC_1F81E9B027B8_.wvu.PrintTitles" localSheetId="22" hidden="1">'22_ ОБЖ'!$8:$11</definedName>
    <definedName name="Z_018285DA_3408_490C_ABEC_1F81E9B027B8_.wvu.PrintTitles" localSheetId="23" hidden="1">'23_ликвид. приспособ.строений'!$8:$11</definedName>
    <definedName name="Z_018285DA_3408_490C_ABEC_1F81E9B027B8_.wvu.PrintTitles" localSheetId="24" hidden="1">'24_ эколог.без-ть)'!$8:$11</definedName>
    <definedName name="Z_018285DA_3408_490C_ABEC_1F81E9B027B8_.wvu.PrintTitles" localSheetId="25" hidden="1">'27_ информац.общество'!$8:$11</definedName>
    <definedName name="Z_018285DA_3408_490C_ABEC_1F81E9B027B8_.wvu.PrintTitles" localSheetId="26" hidden="1">'28_ развитие образования'!$8:$11</definedName>
    <definedName name="Z_018285DA_3408_490C_ABEC_1F81E9B027B8_.wvu.PrintTitles" localSheetId="27" hidden="1">'29_ФСГС'!$8:$10</definedName>
    <definedName name="Z_018285DA_3408_490C_ABEC_1F81E9B027B8_.wvu.PrintTitles" localSheetId="28" hidden="1">'33_ доступ.маломобильных'!$8:$11</definedName>
    <definedName name="Z_018285DA_3408_490C_ABEC_1F81E9B027B8_.wvu.PrintTitles" localSheetId="29" hidden="1">лист!$8:$11</definedName>
    <definedName name="Z_018285DA_3408_490C_ABEC_1F81E9B027B8_.wvu.PrintTitles" localSheetId="30" hidden="1">'лист (2)'!$8:$11</definedName>
    <definedName name="Z_018285DA_3408_490C_ABEC_1F81E9B027B8_.wvu.PrintTitles" localSheetId="1" hidden="1">'непрограммные расходы'!$8:$11</definedName>
    <definedName name="Z_018285DA_3408_490C_ABEC_1F81E9B027B8_.wvu.PrintTitles" localSheetId="0" hidden="1">СВОД!$7:$10</definedName>
    <definedName name="Z_018285DA_3408_490C_ABEC_1F81E9B027B8_.wvu.Rows" localSheetId="5" hidden="1">'04_ развитие сферы культуры'!$18:$18</definedName>
    <definedName name="Z_018285DA_3408_490C_ABEC_1F81E9B027B8_.wvu.Rows" localSheetId="8" hidden="1">'07_равитие жил.сферы'!$13:$37</definedName>
    <definedName name="Z_018285DA_3408_490C_ABEC_1F81E9B027B8_.wvu.Rows" localSheetId="9" hidden="1">'08_ профилактикаТиЭ'!$16:$19,'08_ профилактикаТиЭ'!$34:$37</definedName>
    <definedName name="Z_018285DA_3408_490C_ABEC_1F81E9B027B8_.wvu.Rows" localSheetId="17" hidden="1">'16_ обеспеч. жильем молодых '!$13:$37</definedName>
    <definedName name="Z_0D720A5F_1A01_491E_B456_8B8A613064CA_.wvu.PrintTitles" localSheetId="2" hidden="1">'01_молодежная политика'!$8:$11</definedName>
    <definedName name="Z_0D720A5F_1A01_491E_B456_8B8A613064CA_.wvu.PrintTitles" localSheetId="3" hidden="1">'02_летний отдых'!$8:$11</definedName>
    <definedName name="Z_0D720A5F_1A01_491E_B456_8B8A613064CA_.wvu.PrintTitles" localSheetId="4" hidden="1">'03_УМТО'!$8:$11</definedName>
    <definedName name="Z_0D720A5F_1A01_491E_B456_8B8A613064CA_.wvu.PrintTitles" localSheetId="5" hidden="1">'04_ развитие сферы культуры'!$8:$11</definedName>
    <definedName name="Z_0D720A5F_1A01_491E_B456_8B8A613064CA_.wvu.PrintTitles" localSheetId="6" hidden="1">'05_ развитие муниц.службы'!$8:$11</definedName>
    <definedName name="Z_0D720A5F_1A01_491E_B456_8B8A613064CA_.wvu.PrintTitles" localSheetId="7" hidden="1">'06_ охрана труда'!$8:$11</definedName>
    <definedName name="Z_0D720A5F_1A01_491E_B456_8B8A613064CA_.wvu.PrintTitles" localSheetId="8" hidden="1">'07_равитие жил.сферы'!$8:$11</definedName>
    <definedName name="Z_0D720A5F_1A01_491E_B456_8B8A613064CA_.wvu.PrintTitles" localSheetId="9" hidden="1">'08_ профилактикаТиЭ'!$8:$11</definedName>
    <definedName name="Z_0D720A5F_1A01_491E_B456_8B8A613064CA_.wvu.PrintTitles" localSheetId="10" hidden="1">'09_ поддержка СМП'!$8:$11</definedName>
    <definedName name="Z_0D720A5F_1A01_491E_B456_8B8A613064CA_.wvu.PrintTitles" localSheetId="11" hidden="1">'10_градостроительная деят'!$8:$11</definedName>
    <definedName name="Z_0D720A5F_1A01_491E_B456_8B8A613064CA_.wvu.PrintTitles" localSheetId="12" hidden="1">'11_проводействие коррупц'!$8:$11</definedName>
    <definedName name="Z_0D720A5F_1A01_491E_B456_8B8A613064CA_.wvu.PrintTitles" localSheetId="13" hidden="1">'12_информирование'!$8:$11</definedName>
    <definedName name="Z_0D720A5F_1A01_491E_B456_8B8A613064CA_.wvu.PrintTitles" localSheetId="14" hidden="1">'13_ управление имуществом'!$8:$11</definedName>
    <definedName name="Z_0D720A5F_1A01_491E_B456_8B8A613064CA_.wvu.PrintTitles" localSheetId="15" hidden="1">'14_ управление муниц.финансами'!$8:$11</definedName>
    <definedName name="Z_0D720A5F_1A01_491E_B456_8B8A613064CA_.wvu.PrintTitles" localSheetId="16" hidden="1">'15_транспортная'!$8:$11</definedName>
    <definedName name="Z_0D720A5F_1A01_491E_B456_8B8A613064CA_.wvu.PrintTitles" localSheetId="17" hidden="1">'16_ обеспеч. жильем молодых '!$8:$11</definedName>
    <definedName name="Z_0D720A5F_1A01_491E_B456_8B8A613064CA_.wvu.PrintTitles" localSheetId="18" hidden="1">'17_ развитие физ.и спорта'!$8:$11</definedName>
    <definedName name="Z_0D720A5F_1A01_491E_B456_8B8A613064CA_.wvu.PrintTitles" localSheetId="19" hidden="1">'18_ отд.полн.в сфере опеки'!$8:$11</definedName>
    <definedName name="Z_0D720A5F_1A01_491E_B456_8B8A613064CA_.wvu.PrintTitles" localSheetId="20" hidden="1">'19_поддержка СОНО'!$8:$11</definedName>
    <definedName name="Z_0D720A5F_1A01_491E_B456_8B8A613064CA_.wvu.PrintTitles" localSheetId="21" hidden="1">'20_ развитие ЖКХ'!$8:$11</definedName>
    <definedName name="Z_0D720A5F_1A01_491E_B456_8B8A613064CA_.wvu.PrintTitles" localSheetId="22" hidden="1">'22_ ОБЖ'!$8:$11</definedName>
    <definedName name="Z_0D720A5F_1A01_491E_B456_8B8A613064CA_.wvu.PrintTitles" localSheetId="23" hidden="1">'23_ликвид. приспособ.строений'!$8:$11</definedName>
    <definedName name="Z_0D720A5F_1A01_491E_B456_8B8A613064CA_.wvu.PrintTitles" localSheetId="24" hidden="1">'24_ эколог.без-ть)'!$8:$11</definedName>
    <definedName name="Z_0D720A5F_1A01_491E_B456_8B8A613064CA_.wvu.PrintTitles" localSheetId="25" hidden="1">'27_ информац.общество'!$8:$11</definedName>
    <definedName name="Z_0D720A5F_1A01_491E_B456_8B8A613064CA_.wvu.PrintTitles" localSheetId="26" hidden="1">'28_ развитие образования'!$8:$11</definedName>
    <definedName name="Z_0D720A5F_1A01_491E_B456_8B8A613064CA_.wvu.PrintTitles" localSheetId="27" hidden="1">'29_ФСГС'!$8:$10</definedName>
    <definedName name="Z_0D720A5F_1A01_491E_B456_8B8A613064CA_.wvu.PrintTitles" localSheetId="28" hidden="1">'33_ доступ.маломобильных'!$8:$11</definedName>
    <definedName name="Z_0D720A5F_1A01_491E_B456_8B8A613064CA_.wvu.PrintTitles" localSheetId="29" hidden="1">лист!$8:$11</definedName>
    <definedName name="Z_0D720A5F_1A01_491E_B456_8B8A613064CA_.wvu.PrintTitles" localSheetId="30" hidden="1">'лист (2)'!$8:$11</definedName>
    <definedName name="Z_0D720A5F_1A01_491E_B456_8B8A613064CA_.wvu.PrintTitles" localSheetId="1" hidden="1">'непрограммные расходы'!$8:$11</definedName>
    <definedName name="Z_0D720A5F_1A01_491E_B456_8B8A613064CA_.wvu.Rows" localSheetId="3" hidden="1">'02_летний отдых'!$19:$23</definedName>
    <definedName name="Z_0D720A5F_1A01_491E_B456_8B8A613064CA_.wvu.Rows" localSheetId="5" hidden="1">'04_ развитие сферы культуры'!$18:$18</definedName>
    <definedName name="Z_0D720A5F_1A01_491E_B456_8B8A613064CA_.wvu.Rows" localSheetId="8" hidden="1">'07_равитие жил.сферы'!$13:$37</definedName>
    <definedName name="Z_0D720A5F_1A01_491E_B456_8B8A613064CA_.wvu.Rows" localSheetId="9" hidden="1">'08_ профилактикаТиЭ'!$16:$19,'08_ профилактикаТиЭ'!$34:$37</definedName>
    <definedName name="Z_0D720A5F_1A01_491E_B456_8B8A613064CA_.wvu.Rows" localSheetId="12" hidden="1">'11_проводействие коррупц'!$19:$24</definedName>
    <definedName name="Z_0D720A5F_1A01_491E_B456_8B8A613064CA_.wvu.Rows" localSheetId="17" hidden="1">'16_ обеспеч. жильем молодых '!$13:$37</definedName>
    <definedName name="Z_252DDAAD_7623_465E_8DD1_187342A6B6D8_.wvu.PrintTitles" localSheetId="2" hidden="1">'01_молодежная политика'!$8:$11</definedName>
    <definedName name="Z_252DDAAD_7623_465E_8DD1_187342A6B6D8_.wvu.PrintTitles" localSheetId="3" hidden="1">'02_летний отдых'!$8:$11</definedName>
    <definedName name="Z_252DDAAD_7623_465E_8DD1_187342A6B6D8_.wvu.PrintTitles" localSheetId="4" hidden="1">'03_УМТО'!$8:$11</definedName>
    <definedName name="Z_252DDAAD_7623_465E_8DD1_187342A6B6D8_.wvu.PrintTitles" localSheetId="5" hidden="1">'04_ развитие сферы культуры'!$8:$11</definedName>
    <definedName name="Z_252DDAAD_7623_465E_8DD1_187342A6B6D8_.wvu.PrintTitles" localSheetId="6" hidden="1">'05_ развитие муниц.службы'!$8:$11</definedName>
    <definedName name="Z_252DDAAD_7623_465E_8DD1_187342A6B6D8_.wvu.PrintTitles" localSheetId="7" hidden="1">'06_ охрана труда'!$8:$11</definedName>
    <definedName name="Z_252DDAAD_7623_465E_8DD1_187342A6B6D8_.wvu.PrintTitles" localSheetId="8" hidden="1">'07_равитие жил.сферы'!$8:$11</definedName>
    <definedName name="Z_252DDAAD_7623_465E_8DD1_187342A6B6D8_.wvu.PrintTitles" localSheetId="9" hidden="1">'08_ профилактикаТиЭ'!$8:$11</definedName>
    <definedName name="Z_252DDAAD_7623_465E_8DD1_187342A6B6D8_.wvu.PrintTitles" localSheetId="10" hidden="1">'09_ поддержка СМП'!$8:$11</definedName>
    <definedName name="Z_252DDAAD_7623_465E_8DD1_187342A6B6D8_.wvu.PrintTitles" localSheetId="11" hidden="1">'10_градостроительная деят'!$8:$11</definedName>
    <definedName name="Z_252DDAAD_7623_465E_8DD1_187342A6B6D8_.wvu.PrintTitles" localSheetId="12" hidden="1">'11_проводействие коррупц'!$8:$11</definedName>
    <definedName name="Z_252DDAAD_7623_465E_8DD1_187342A6B6D8_.wvu.PrintTitles" localSheetId="13" hidden="1">'12_информирование'!$8:$11</definedName>
    <definedName name="Z_252DDAAD_7623_465E_8DD1_187342A6B6D8_.wvu.PrintTitles" localSheetId="14" hidden="1">'13_ управление имуществом'!$8:$11</definedName>
    <definedName name="Z_252DDAAD_7623_465E_8DD1_187342A6B6D8_.wvu.PrintTitles" localSheetId="15" hidden="1">'14_ управление муниц.финансами'!$8:$11</definedName>
    <definedName name="Z_252DDAAD_7623_465E_8DD1_187342A6B6D8_.wvu.PrintTitles" localSheetId="16" hidden="1">'15_транспортная'!$8:$11</definedName>
    <definedName name="Z_252DDAAD_7623_465E_8DD1_187342A6B6D8_.wvu.PrintTitles" localSheetId="17" hidden="1">'16_ обеспеч. жильем молодых '!$8:$11</definedName>
    <definedName name="Z_252DDAAD_7623_465E_8DD1_187342A6B6D8_.wvu.PrintTitles" localSheetId="18" hidden="1">'17_ развитие физ.и спорта'!$8:$11</definedName>
    <definedName name="Z_252DDAAD_7623_465E_8DD1_187342A6B6D8_.wvu.PrintTitles" localSheetId="19" hidden="1">'18_ отд.полн.в сфере опеки'!$8:$11</definedName>
    <definedName name="Z_252DDAAD_7623_465E_8DD1_187342A6B6D8_.wvu.PrintTitles" localSheetId="20" hidden="1">'19_поддержка СОНО'!$8:$11</definedName>
    <definedName name="Z_252DDAAD_7623_465E_8DD1_187342A6B6D8_.wvu.PrintTitles" localSheetId="21" hidden="1">'20_ развитие ЖКХ'!$8:$11</definedName>
    <definedName name="Z_252DDAAD_7623_465E_8DD1_187342A6B6D8_.wvu.PrintTitles" localSheetId="22" hidden="1">'22_ ОБЖ'!$8:$11</definedName>
    <definedName name="Z_252DDAAD_7623_465E_8DD1_187342A6B6D8_.wvu.PrintTitles" localSheetId="23" hidden="1">'23_ликвид. приспособ.строений'!$8:$11</definedName>
    <definedName name="Z_252DDAAD_7623_465E_8DD1_187342A6B6D8_.wvu.PrintTitles" localSheetId="24" hidden="1">'24_ эколог.без-ть)'!$8:$11</definedName>
    <definedName name="Z_252DDAAD_7623_465E_8DD1_187342A6B6D8_.wvu.PrintTitles" localSheetId="25" hidden="1">'27_ информац.общество'!$8:$11</definedName>
    <definedName name="Z_252DDAAD_7623_465E_8DD1_187342A6B6D8_.wvu.PrintTitles" localSheetId="26" hidden="1">'28_ развитие образования'!$8:$11</definedName>
    <definedName name="Z_252DDAAD_7623_465E_8DD1_187342A6B6D8_.wvu.PrintTitles" localSheetId="27" hidden="1">'29_ФСГС'!$8:$10</definedName>
    <definedName name="Z_252DDAAD_7623_465E_8DD1_187342A6B6D8_.wvu.PrintTitles" localSheetId="28" hidden="1">'33_ доступ.маломобильных'!$8:$11</definedName>
    <definedName name="Z_252DDAAD_7623_465E_8DD1_187342A6B6D8_.wvu.PrintTitles" localSheetId="29" hidden="1">лист!$8:$11</definedName>
    <definedName name="Z_252DDAAD_7623_465E_8DD1_187342A6B6D8_.wvu.PrintTitles" localSheetId="30" hidden="1">'лист (2)'!$8:$11</definedName>
    <definedName name="Z_252DDAAD_7623_465E_8DD1_187342A6B6D8_.wvu.PrintTitles" localSheetId="1" hidden="1">'непрограммные расходы'!$8:$11</definedName>
    <definedName name="Z_252DDAAD_7623_465E_8DD1_187342A6B6D8_.wvu.Rows" localSheetId="5" hidden="1">'04_ развитие сферы культуры'!$18:$18</definedName>
    <definedName name="Z_252DDAAD_7623_465E_8DD1_187342A6B6D8_.wvu.Rows" localSheetId="8" hidden="1">'07_равитие жил.сферы'!$13:$37</definedName>
    <definedName name="Z_252DDAAD_7623_465E_8DD1_187342A6B6D8_.wvu.Rows" localSheetId="9" hidden="1">'08_ профилактикаТиЭ'!$16:$19,'08_ профилактикаТиЭ'!$34:$37</definedName>
    <definedName name="Z_252DDAAD_7623_465E_8DD1_187342A6B6D8_.wvu.Rows" localSheetId="17" hidden="1">'16_ обеспеч. жильем молодых '!$13:$37</definedName>
    <definedName name="Z_29B9ECE6_FCA1_4FB1_A261_60DAFF74F5A0_.wvu.PrintTitles" localSheetId="2" hidden="1">'01_молодежная политика'!$8:$11</definedName>
    <definedName name="Z_29B9ECE6_FCA1_4FB1_A261_60DAFF74F5A0_.wvu.PrintTitles" localSheetId="3" hidden="1">'02_летний отдых'!$8:$11</definedName>
    <definedName name="Z_29B9ECE6_FCA1_4FB1_A261_60DAFF74F5A0_.wvu.PrintTitles" localSheetId="4" hidden="1">'03_УМТО'!$8:$11</definedName>
    <definedName name="Z_29B9ECE6_FCA1_4FB1_A261_60DAFF74F5A0_.wvu.PrintTitles" localSheetId="5" hidden="1">'04_ развитие сферы культуры'!$8:$11</definedName>
    <definedName name="Z_29B9ECE6_FCA1_4FB1_A261_60DAFF74F5A0_.wvu.PrintTitles" localSheetId="6" hidden="1">'05_ развитие муниц.службы'!$8:$11</definedName>
    <definedName name="Z_29B9ECE6_FCA1_4FB1_A261_60DAFF74F5A0_.wvu.PrintTitles" localSheetId="7" hidden="1">'06_ охрана труда'!$8:$11</definedName>
    <definedName name="Z_29B9ECE6_FCA1_4FB1_A261_60DAFF74F5A0_.wvu.PrintTitles" localSheetId="8" hidden="1">'07_равитие жил.сферы'!$8:$11</definedName>
    <definedName name="Z_29B9ECE6_FCA1_4FB1_A261_60DAFF74F5A0_.wvu.PrintTitles" localSheetId="9" hidden="1">'08_ профилактикаТиЭ'!$8:$11</definedName>
    <definedName name="Z_29B9ECE6_FCA1_4FB1_A261_60DAFF74F5A0_.wvu.PrintTitles" localSheetId="10" hidden="1">'09_ поддержка СМП'!$8:$11</definedName>
    <definedName name="Z_29B9ECE6_FCA1_4FB1_A261_60DAFF74F5A0_.wvu.PrintTitles" localSheetId="11" hidden="1">'10_градостроительная деят'!$8:$11</definedName>
    <definedName name="Z_29B9ECE6_FCA1_4FB1_A261_60DAFF74F5A0_.wvu.PrintTitles" localSheetId="12" hidden="1">'11_проводействие коррупц'!$8:$11</definedName>
    <definedName name="Z_29B9ECE6_FCA1_4FB1_A261_60DAFF74F5A0_.wvu.PrintTitles" localSheetId="13" hidden="1">'12_информирование'!$8:$11</definedName>
    <definedName name="Z_29B9ECE6_FCA1_4FB1_A261_60DAFF74F5A0_.wvu.PrintTitles" localSheetId="14" hidden="1">'13_ управление имуществом'!$8:$11</definedName>
    <definedName name="Z_29B9ECE6_FCA1_4FB1_A261_60DAFF74F5A0_.wvu.PrintTitles" localSheetId="15" hidden="1">'14_ управление муниц.финансами'!$8:$11</definedName>
    <definedName name="Z_29B9ECE6_FCA1_4FB1_A261_60DAFF74F5A0_.wvu.PrintTitles" localSheetId="16" hidden="1">'15_транспортная'!$8:$11</definedName>
    <definedName name="Z_29B9ECE6_FCA1_4FB1_A261_60DAFF74F5A0_.wvu.PrintTitles" localSheetId="17" hidden="1">'16_ обеспеч. жильем молодых '!$8:$11</definedName>
    <definedName name="Z_29B9ECE6_FCA1_4FB1_A261_60DAFF74F5A0_.wvu.PrintTitles" localSheetId="18" hidden="1">'17_ развитие физ.и спорта'!$8:$11</definedName>
    <definedName name="Z_29B9ECE6_FCA1_4FB1_A261_60DAFF74F5A0_.wvu.PrintTitles" localSheetId="19" hidden="1">'18_ отд.полн.в сфере опеки'!$8:$11</definedName>
    <definedName name="Z_29B9ECE6_FCA1_4FB1_A261_60DAFF74F5A0_.wvu.PrintTitles" localSheetId="20" hidden="1">'19_поддержка СОНО'!$8:$11</definedName>
    <definedName name="Z_29B9ECE6_FCA1_4FB1_A261_60DAFF74F5A0_.wvu.PrintTitles" localSheetId="21" hidden="1">'20_ развитие ЖКХ'!$8:$11</definedName>
    <definedName name="Z_29B9ECE6_FCA1_4FB1_A261_60DAFF74F5A0_.wvu.PrintTitles" localSheetId="22" hidden="1">'22_ ОБЖ'!$8:$11</definedName>
    <definedName name="Z_29B9ECE6_FCA1_4FB1_A261_60DAFF74F5A0_.wvu.PrintTitles" localSheetId="23" hidden="1">'23_ликвид. приспособ.строений'!$8:$11</definedName>
    <definedName name="Z_29B9ECE6_FCA1_4FB1_A261_60DAFF74F5A0_.wvu.PrintTitles" localSheetId="24" hidden="1">'24_ эколог.без-ть)'!$8:$11</definedName>
    <definedName name="Z_29B9ECE6_FCA1_4FB1_A261_60DAFF74F5A0_.wvu.PrintTitles" localSheetId="25" hidden="1">'27_ информац.общество'!$8:$11</definedName>
    <definedName name="Z_29B9ECE6_FCA1_4FB1_A261_60DAFF74F5A0_.wvu.PrintTitles" localSheetId="26" hidden="1">'28_ развитие образования'!$8:$11</definedName>
    <definedName name="Z_29B9ECE6_FCA1_4FB1_A261_60DAFF74F5A0_.wvu.PrintTitles" localSheetId="27" hidden="1">'29_ФСГС'!$8:$10</definedName>
    <definedName name="Z_29B9ECE6_FCA1_4FB1_A261_60DAFF74F5A0_.wvu.PrintTitles" localSheetId="28" hidden="1">'33_ доступ.маломобильных'!$8:$11</definedName>
    <definedName name="Z_29B9ECE6_FCA1_4FB1_A261_60DAFF74F5A0_.wvu.PrintTitles" localSheetId="29" hidden="1">лист!$8:$11</definedName>
    <definedName name="Z_29B9ECE6_FCA1_4FB1_A261_60DAFF74F5A0_.wvu.PrintTitles" localSheetId="30" hidden="1">'лист (2)'!$8:$11</definedName>
    <definedName name="Z_29B9ECE6_FCA1_4FB1_A261_60DAFF74F5A0_.wvu.PrintTitles" localSheetId="1" hidden="1">'непрограммные расходы'!$8:$11</definedName>
    <definedName name="Z_29B9ECE6_FCA1_4FB1_A261_60DAFF74F5A0_.wvu.Rows" localSheetId="2" hidden="1">'01_молодежная политика'!$26:$26</definedName>
    <definedName name="Z_29B9ECE6_FCA1_4FB1_A261_60DAFF74F5A0_.wvu.Rows" localSheetId="3" hidden="1">'02_летний отдых'!$19:$23</definedName>
    <definedName name="Z_29B9ECE6_FCA1_4FB1_A261_60DAFF74F5A0_.wvu.Rows" localSheetId="4" hidden="1">'03_УМТО'!$16:$17</definedName>
    <definedName name="Z_29B9ECE6_FCA1_4FB1_A261_60DAFF74F5A0_.wvu.Rows" localSheetId="5" hidden="1">'04_ развитие сферы культуры'!$23:$33</definedName>
    <definedName name="Z_29B9ECE6_FCA1_4FB1_A261_60DAFF74F5A0_.wvu.Rows" localSheetId="6" hidden="1">'05_ развитие муниц.службы'!#REF!</definedName>
    <definedName name="Z_29B9ECE6_FCA1_4FB1_A261_60DAFF74F5A0_.wvu.Rows" localSheetId="7" hidden="1">'06_ охрана труда'!#REF!</definedName>
    <definedName name="Z_29B9ECE6_FCA1_4FB1_A261_60DAFF74F5A0_.wvu.Rows" localSheetId="8" hidden="1">'07_равитие жил.сферы'!$23:$37</definedName>
    <definedName name="Z_29B9ECE6_FCA1_4FB1_A261_60DAFF74F5A0_.wvu.Rows" localSheetId="9" hidden="1">'08_ профилактикаТиЭ'!$24:$38</definedName>
    <definedName name="Z_29B9ECE6_FCA1_4FB1_A261_60DAFF74F5A0_.wvu.Rows" localSheetId="10" hidden="1">'09_ поддержка СМП'!$12:$19</definedName>
    <definedName name="Z_29B9ECE6_FCA1_4FB1_A261_60DAFF74F5A0_.wvu.Rows" localSheetId="11" hidden="1">'10_градостроительная деят'!$17:$19</definedName>
    <definedName name="Z_29B9ECE6_FCA1_4FB1_A261_60DAFF74F5A0_.wvu.Rows" localSheetId="12" hidden="1">'11_проводействие коррупц'!#REF!</definedName>
    <definedName name="Z_29B9ECE6_FCA1_4FB1_A261_60DAFF74F5A0_.wvu.Rows" localSheetId="13" hidden="1">'12_информирование'!#REF!</definedName>
    <definedName name="Z_29B9ECE6_FCA1_4FB1_A261_60DAFF74F5A0_.wvu.Rows" localSheetId="14" hidden="1">'13_ управление имуществом'!$24:$30</definedName>
    <definedName name="Z_29B9ECE6_FCA1_4FB1_A261_60DAFF74F5A0_.wvu.Rows" localSheetId="15" hidden="1">'14_ управление муниц.финансами'!$22:$25</definedName>
    <definedName name="Z_29B9ECE6_FCA1_4FB1_A261_60DAFF74F5A0_.wvu.Rows" localSheetId="16" hidden="1">'15_транспортная'!#REF!</definedName>
    <definedName name="Z_29B9ECE6_FCA1_4FB1_A261_60DAFF74F5A0_.wvu.Rows" localSheetId="17" hidden="1">'16_ обеспеч. жильем молодых '!$23:$37</definedName>
    <definedName name="Z_29B9ECE6_FCA1_4FB1_A261_60DAFF74F5A0_.wvu.Rows" localSheetId="18" hidden="1">'17_ развитие физ.и спорта'!#REF!</definedName>
    <definedName name="Z_29B9ECE6_FCA1_4FB1_A261_60DAFF74F5A0_.wvu.Rows" localSheetId="19" hidden="1">'18_ отд.полн.в сфере опеки'!#REF!</definedName>
    <definedName name="Z_29B9ECE6_FCA1_4FB1_A261_60DAFF74F5A0_.wvu.Rows" localSheetId="20" hidden="1">'19_поддержка СОНО'!#REF!</definedName>
    <definedName name="Z_29B9ECE6_FCA1_4FB1_A261_60DAFF74F5A0_.wvu.Rows" localSheetId="21" hidden="1">'20_ развитие ЖКХ'!$24:$32</definedName>
    <definedName name="Z_29B9ECE6_FCA1_4FB1_A261_60DAFF74F5A0_.wvu.Rows" localSheetId="22" hidden="1">'22_ ОБЖ'!#REF!</definedName>
    <definedName name="Z_29B9ECE6_FCA1_4FB1_A261_60DAFF74F5A0_.wvu.Rows" localSheetId="23" hidden="1">'23_ликвид. приспособ.строений'!$23:$37</definedName>
    <definedName name="Z_29B9ECE6_FCA1_4FB1_A261_60DAFF74F5A0_.wvu.Rows" localSheetId="24" hidden="1">'24_ эколог.без-ть)'!$16:$21</definedName>
    <definedName name="Z_29B9ECE6_FCA1_4FB1_A261_60DAFF74F5A0_.wvu.Rows" localSheetId="25" hidden="1">'27_ информац.общество'!$18:$28</definedName>
    <definedName name="Z_29B9ECE6_FCA1_4FB1_A261_60DAFF74F5A0_.wvu.Rows" localSheetId="26" hidden="1">'28_ развитие образования'!#REF!</definedName>
    <definedName name="Z_29B9ECE6_FCA1_4FB1_A261_60DAFF74F5A0_.wvu.Rows" localSheetId="27" hidden="1">'29_ФСГС'!$11:$14</definedName>
    <definedName name="Z_29B9ECE6_FCA1_4FB1_A261_60DAFF74F5A0_.wvu.Rows" localSheetId="28" hidden="1">'33_ доступ.маломобильных'!#REF!</definedName>
    <definedName name="Z_29B9ECE6_FCA1_4FB1_A261_60DAFF74F5A0_.wvu.Rows" localSheetId="29" hidden="1">лист!$23:$37</definedName>
    <definedName name="Z_29B9ECE6_FCA1_4FB1_A261_60DAFF74F5A0_.wvu.Rows" localSheetId="30" hidden="1">'лист (2)'!$23:$37</definedName>
    <definedName name="Z_29B9ECE6_FCA1_4FB1_A261_60DAFF74F5A0_.wvu.Rows" localSheetId="1" hidden="1">'непрограммные расходы'!$14:$15</definedName>
    <definedName name="Z_2DCCB647_6BFB_4F2E_B13D_18849C971762_.wvu.PrintTitles" localSheetId="2" hidden="1">'01_молодежная политика'!$8:$11</definedName>
    <definedName name="Z_2DCCB647_6BFB_4F2E_B13D_18849C971762_.wvu.PrintTitles" localSheetId="3" hidden="1">'02_летний отдых'!$8:$11</definedName>
    <definedName name="Z_2DCCB647_6BFB_4F2E_B13D_18849C971762_.wvu.PrintTitles" localSheetId="4" hidden="1">'03_УМТО'!$8:$11</definedName>
    <definedName name="Z_2DCCB647_6BFB_4F2E_B13D_18849C971762_.wvu.PrintTitles" localSheetId="5" hidden="1">'04_ развитие сферы культуры'!$8:$11</definedName>
    <definedName name="Z_2DCCB647_6BFB_4F2E_B13D_18849C971762_.wvu.PrintTitles" localSheetId="6" hidden="1">'05_ развитие муниц.службы'!$8:$11</definedName>
    <definedName name="Z_2DCCB647_6BFB_4F2E_B13D_18849C971762_.wvu.PrintTitles" localSheetId="7" hidden="1">'06_ охрана труда'!$8:$11</definedName>
    <definedName name="Z_2DCCB647_6BFB_4F2E_B13D_18849C971762_.wvu.PrintTitles" localSheetId="8" hidden="1">'07_равитие жил.сферы'!$8:$11</definedName>
    <definedName name="Z_2DCCB647_6BFB_4F2E_B13D_18849C971762_.wvu.PrintTitles" localSheetId="9" hidden="1">'08_ профилактикаТиЭ'!$8:$11</definedName>
    <definedName name="Z_2DCCB647_6BFB_4F2E_B13D_18849C971762_.wvu.PrintTitles" localSheetId="10" hidden="1">'09_ поддержка СМП'!$8:$11</definedName>
    <definedName name="Z_2DCCB647_6BFB_4F2E_B13D_18849C971762_.wvu.PrintTitles" localSheetId="11" hidden="1">'10_градостроительная деят'!$8:$11</definedName>
    <definedName name="Z_2DCCB647_6BFB_4F2E_B13D_18849C971762_.wvu.PrintTitles" localSheetId="12" hidden="1">'11_проводействие коррупц'!$8:$11</definedName>
    <definedName name="Z_2DCCB647_6BFB_4F2E_B13D_18849C971762_.wvu.PrintTitles" localSheetId="13" hidden="1">'12_информирование'!$8:$11</definedName>
    <definedName name="Z_2DCCB647_6BFB_4F2E_B13D_18849C971762_.wvu.PrintTitles" localSheetId="14" hidden="1">'13_ управление имуществом'!$8:$11</definedName>
    <definedName name="Z_2DCCB647_6BFB_4F2E_B13D_18849C971762_.wvu.PrintTitles" localSheetId="15" hidden="1">'14_ управление муниц.финансами'!$8:$11</definedName>
    <definedName name="Z_2DCCB647_6BFB_4F2E_B13D_18849C971762_.wvu.PrintTitles" localSheetId="16" hidden="1">'15_транспортная'!$8:$11</definedName>
    <definedName name="Z_2DCCB647_6BFB_4F2E_B13D_18849C971762_.wvu.PrintTitles" localSheetId="17" hidden="1">'16_ обеспеч. жильем молодых '!$8:$11</definedName>
    <definedName name="Z_2DCCB647_6BFB_4F2E_B13D_18849C971762_.wvu.PrintTitles" localSheetId="18" hidden="1">'17_ развитие физ.и спорта'!$8:$11</definedName>
    <definedName name="Z_2DCCB647_6BFB_4F2E_B13D_18849C971762_.wvu.PrintTitles" localSheetId="19" hidden="1">'18_ отд.полн.в сфере опеки'!$8:$11</definedName>
    <definedName name="Z_2DCCB647_6BFB_4F2E_B13D_18849C971762_.wvu.PrintTitles" localSheetId="20" hidden="1">'19_поддержка СОНО'!$8:$11</definedName>
    <definedName name="Z_2DCCB647_6BFB_4F2E_B13D_18849C971762_.wvu.PrintTitles" localSheetId="21" hidden="1">'20_ развитие ЖКХ'!$8:$11</definedName>
    <definedName name="Z_2DCCB647_6BFB_4F2E_B13D_18849C971762_.wvu.PrintTitles" localSheetId="22" hidden="1">'22_ ОБЖ'!$8:$11</definedName>
    <definedName name="Z_2DCCB647_6BFB_4F2E_B13D_18849C971762_.wvu.PrintTitles" localSheetId="23" hidden="1">'23_ликвид. приспособ.строений'!$8:$11</definedName>
    <definedName name="Z_2DCCB647_6BFB_4F2E_B13D_18849C971762_.wvu.PrintTitles" localSheetId="24" hidden="1">'24_ эколог.без-ть)'!$8:$11</definedName>
    <definedName name="Z_2DCCB647_6BFB_4F2E_B13D_18849C971762_.wvu.PrintTitles" localSheetId="25" hidden="1">'27_ информац.общество'!$8:$11</definedName>
    <definedName name="Z_2DCCB647_6BFB_4F2E_B13D_18849C971762_.wvu.PrintTitles" localSheetId="26" hidden="1">'28_ развитие образования'!$8:$11</definedName>
    <definedName name="Z_2DCCB647_6BFB_4F2E_B13D_18849C971762_.wvu.PrintTitles" localSheetId="27" hidden="1">'29_ФСГС'!$8:$10</definedName>
    <definedName name="Z_2DCCB647_6BFB_4F2E_B13D_18849C971762_.wvu.PrintTitles" localSheetId="28" hidden="1">'33_ доступ.маломобильных'!$8:$11</definedName>
    <definedName name="Z_2DCCB647_6BFB_4F2E_B13D_18849C971762_.wvu.PrintTitles" localSheetId="29" hidden="1">лист!$8:$11</definedName>
    <definedName name="Z_2DCCB647_6BFB_4F2E_B13D_18849C971762_.wvu.PrintTitles" localSheetId="30" hidden="1">'лист (2)'!$8:$11</definedName>
    <definedName name="Z_2DCCB647_6BFB_4F2E_B13D_18849C971762_.wvu.PrintTitles" localSheetId="1" hidden="1">'непрограммные расходы'!$8:$11</definedName>
    <definedName name="Z_2DCCB647_6BFB_4F2E_B13D_18849C971762_.wvu.Rows" localSheetId="2" hidden="1">'01_молодежная политика'!$26:$26</definedName>
    <definedName name="Z_2DCCB647_6BFB_4F2E_B13D_18849C971762_.wvu.Rows" localSheetId="3" hidden="1">'02_летний отдых'!$19:$23</definedName>
    <definedName name="Z_2DCCB647_6BFB_4F2E_B13D_18849C971762_.wvu.Rows" localSheetId="4" hidden="1">'03_УМТО'!$16:$17</definedName>
    <definedName name="Z_2DCCB647_6BFB_4F2E_B13D_18849C971762_.wvu.Rows" localSheetId="5" hidden="1">'04_ развитие сферы культуры'!$23:$33</definedName>
    <definedName name="Z_2DCCB647_6BFB_4F2E_B13D_18849C971762_.wvu.Rows" localSheetId="6" hidden="1">'05_ развитие муниц.службы'!#REF!</definedName>
    <definedName name="Z_2DCCB647_6BFB_4F2E_B13D_18849C971762_.wvu.Rows" localSheetId="7" hidden="1">'06_ охрана труда'!#REF!</definedName>
    <definedName name="Z_2DCCB647_6BFB_4F2E_B13D_18849C971762_.wvu.Rows" localSheetId="8" hidden="1">'07_равитие жил.сферы'!$23:$37</definedName>
    <definedName name="Z_2DCCB647_6BFB_4F2E_B13D_18849C971762_.wvu.Rows" localSheetId="9" hidden="1">'08_ профилактикаТиЭ'!$24:$38</definedName>
    <definedName name="Z_2DCCB647_6BFB_4F2E_B13D_18849C971762_.wvu.Rows" localSheetId="10" hidden="1">'09_ поддержка СМП'!$12:$19</definedName>
    <definedName name="Z_2DCCB647_6BFB_4F2E_B13D_18849C971762_.wvu.Rows" localSheetId="11" hidden="1">'10_градостроительная деят'!$17:$19</definedName>
    <definedName name="Z_2DCCB647_6BFB_4F2E_B13D_18849C971762_.wvu.Rows" localSheetId="12" hidden="1">'11_проводействие коррупц'!#REF!</definedName>
    <definedName name="Z_2DCCB647_6BFB_4F2E_B13D_18849C971762_.wvu.Rows" localSheetId="13" hidden="1">'12_информирование'!#REF!</definedName>
    <definedName name="Z_2DCCB647_6BFB_4F2E_B13D_18849C971762_.wvu.Rows" localSheetId="14" hidden="1">'13_ управление имуществом'!$24:$30</definedName>
    <definedName name="Z_2DCCB647_6BFB_4F2E_B13D_18849C971762_.wvu.Rows" localSheetId="15" hidden="1">'14_ управление муниц.финансами'!$22:$25</definedName>
    <definedName name="Z_2DCCB647_6BFB_4F2E_B13D_18849C971762_.wvu.Rows" localSheetId="16" hidden="1">'15_транспортная'!#REF!</definedName>
    <definedName name="Z_2DCCB647_6BFB_4F2E_B13D_18849C971762_.wvu.Rows" localSheetId="17" hidden="1">'16_ обеспеч. жильем молодых '!$23:$37</definedName>
    <definedName name="Z_2DCCB647_6BFB_4F2E_B13D_18849C971762_.wvu.Rows" localSheetId="18" hidden="1">'17_ развитие физ.и спорта'!#REF!</definedName>
    <definedName name="Z_2DCCB647_6BFB_4F2E_B13D_18849C971762_.wvu.Rows" localSheetId="19" hidden="1">'18_ отд.полн.в сфере опеки'!#REF!</definedName>
    <definedName name="Z_2DCCB647_6BFB_4F2E_B13D_18849C971762_.wvu.Rows" localSheetId="20" hidden="1">'19_поддержка СОНО'!#REF!</definedName>
    <definedName name="Z_2DCCB647_6BFB_4F2E_B13D_18849C971762_.wvu.Rows" localSheetId="21" hidden="1">'20_ развитие ЖКХ'!$24:$32</definedName>
    <definedName name="Z_2DCCB647_6BFB_4F2E_B13D_18849C971762_.wvu.Rows" localSheetId="22" hidden="1">'22_ ОБЖ'!#REF!</definedName>
    <definedName name="Z_2DCCB647_6BFB_4F2E_B13D_18849C971762_.wvu.Rows" localSheetId="23" hidden="1">'23_ликвид. приспособ.строений'!$23:$37</definedName>
    <definedName name="Z_2DCCB647_6BFB_4F2E_B13D_18849C971762_.wvu.Rows" localSheetId="24" hidden="1">'24_ эколог.без-ть)'!$16:$21</definedName>
    <definedName name="Z_2DCCB647_6BFB_4F2E_B13D_18849C971762_.wvu.Rows" localSheetId="25" hidden="1">'27_ информац.общество'!$18:$28</definedName>
    <definedName name="Z_2DCCB647_6BFB_4F2E_B13D_18849C971762_.wvu.Rows" localSheetId="26" hidden="1">'28_ развитие образования'!#REF!</definedName>
    <definedName name="Z_2DCCB647_6BFB_4F2E_B13D_18849C971762_.wvu.Rows" localSheetId="27" hidden="1">'29_ФСГС'!$11:$14</definedName>
    <definedName name="Z_2DCCB647_6BFB_4F2E_B13D_18849C971762_.wvu.Rows" localSheetId="28" hidden="1">'33_ доступ.маломобильных'!#REF!</definedName>
    <definedName name="Z_2DCCB647_6BFB_4F2E_B13D_18849C971762_.wvu.Rows" localSheetId="29" hidden="1">лист!$23:$37</definedName>
    <definedName name="Z_2DCCB647_6BFB_4F2E_B13D_18849C971762_.wvu.Rows" localSheetId="30" hidden="1">'лист (2)'!$23:$37</definedName>
    <definedName name="Z_2DCCB647_6BFB_4F2E_B13D_18849C971762_.wvu.Rows" localSheetId="1" hidden="1">'непрограммные расходы'!$14:$15</definedName>
    <definedName name="Z_2EF908A7_3CB6_44E9_B36E_C5E6228059C9_.wvu.PrintTitles" localSheetId="2" hidden="1">'01_молодежная политика'!$8:$11</definedName>
    <definedName name="Z_2EF908A7_3CB6_44E9_B36E_C5E6228059C9_.wvu.PrintTitles" localSheetId="3" hidden="1">'02_летний отдых'!$8:$11</definedName>
    <definedName name="Z_2EF908A7_3CB6_44E9_B36E_C5E6228059C9_.wvu.PrintTitles" localSheetId="4" hidden="1">'03_УМТО'!$8:$11</definedName>
    <definedName name="Z_2EF908A7_3CB6_44E9_B36E_C5E6228059C9_.wvu.PrintTitles" localSheetId="5" hidden="1">'04_ развитие сферы культуры'!$8:$11</definedName>
    <definedName name="Z_2EF908A7_3CB6_44E9_B36E_C5E6228059C9_.wvu.PrintTitles" localSheetId="6" hidden="1">'05_ развитие муниц.службы'!$8:$11</definedName>
    <definedName name="Z_2EF908A7_3CB6_44E9_B36E_C5E6228059C9_.wvu.PrintTitles" localSheetId="7" hidden="1">'06_ охрана труда'!$8:$11</definedName>
    <definedName name="Z_2EF908A7_3CB6_44E9_B36E_C5E6228059C9_.wvu.PrintTitles" localSheetId="8" hidden="1">'07_равитие жил.сферы'!$8:$11</definedName>
    <definedName name="Z_2EF908A7_3CB6_44E9_B36E_C5E6228059C9_.wvu.PrintTitles" localSheetId="9" hidden="1">'08_ профилактикаТиЭ'!$8:$11</definedName>
    <definedName name="Z_2EF908A7_3CB6_44E9_B36E_C5E6228059C9_.wvu.PrintTitles" localSheetId="10" hidden="1">'09_ поддержка СМП'!$8:$11</definedName>
    <definedName name="Z_2EF908A7_3CB6_44E9_B36E_C5E6228059C9_.wvu.PrintTitles" localSheetId="11" hidden="1">'10_градостроительная деят'!$8:$11</definedName>
    <definedName name="Z_2EF908A7_3CB6_44E9_B36E_C5E6228059C9_.wvu.PrintTitles" localSheetId="12" hidden="1">'11_проводействие коррупц'!$8:$11</definedName>
    <definedName name="Z_2EF908A7_3CB6_44E9_B36E_C5E6228059C9_.wvu.PrintTitles" localSheetId="13" hidden="1">'12_информирование'!$8:$11</definedName>
    <definedName name="Z_2EF908A7_3CB6_44E9_B36E_C5E6228059C9_.wvu.PrintTitles" localSheetId="14" hidden="1">'13_ управление имуществом'!$8:$11</definedName>
    <definedName name="Z_2EF908A7_3CB6_44E9_B36E_C5E6228059C9_.wvu.PrintTitles" localSheetId="15" hidden="1">'14_ управление муниц.финансами'!$8:$11</definedName>
    <definedName name="Z_2EF908A7_3CB6_44E9_B36E_C5E6228059C9_.wvu.PrintTitles" localSheetId="16" hidden="1">'15_транспортная'!$8:$11</definedName>
    <definedName name="Z_2EF908A7_3CB6_44E9_B36E_C5E6228059C9_.wvu.PrintTitles" localSheetId="17" hidden="1">'16_ обеспеч. жильем молодых '!$8:$11</definedName>
    <definedName name="Z_2EF908A7_3CB6_44E9_B36E_C5E6228059C9_.wvu.PrintTitles" localSheetId="18" hidden="1">'17_ развитие физ.и спорта'!$8:$11</definedName>
    <definedName name="Z_2EF908A7_3CB6_44E9_B36E_C5E6228059C9_.wvu.PrintTitles" localSheetId="19" hidden="1">'18_ отд.полн.в сфере опеки'!$8:$11</definedName>
    <definedName name="Z_2EF908A7_3CB6_44E9_B36E_C5E6228059C9_.wvu.PrintTitles" localSheetId="20" hidden="1">'19_поддержка СОНО'!$8:$11</definedName>
    <definedName name="Z_2EF908A7_3CB6_44E9_B36E_C5E6228059C9_.wvu.PrintTitles" localSheetId="21" hidden="1">'20_ развитие ЖКХ'!$8:$11</definedName>
    <definedName name="Z_2EF908A7_3CB6_44E9_B36E_C5E6228059C9_.wvu.PrintTitles" localSheetId="22" hidden="1">'22_ ОБЖ'!$8:$11</definedName>
    <definedName name="Z_2EF908A7_3CB6_44E9_B36E_C5E6228059C9_.wvu.PrintTitles" localSheetId="23" hidden="1">'23_ликвид. приспособ.строений'!$8:$11</definedName>
    <definedName name="Z_2EF908A7_3CB6_44E9_B36E_C5E6228059C9_.wvu.PrintTitles" localSheetId="24" hidden="1">'24_ эколог.без-ть)'!$8:$11</definedName>
    <definedName name="Z_2EF908A7_3CB6_44E9_B36E_C5E6228059C9_.wvu.PrintTitles" localSheetId="25" hidden="1">'27_ информац.общество'!$8:$11</definedName>
    <definedName name="Z_2EF908A7_3CB6_44E9_B36E_C5E6228059C9_.wvu.PrintTitles" localSheetId="26" hidden="1">'28_ развитие образования'!$8:$11</definedName>
    <definedName name="Z_2EF908A7_3CB6_44E9_B36E_C5E6228059C9_.wvu.PrintTitles" localSheetId="27" hidden="1">'29_ФСГС'!$8:$10</definedName>
    <definedName name="Z_2EF908A7_3CB6_44E9_B36E_C5E6228059C9_.wvu.PrintTitles" localSheetId="28" hidden="1">'33_ доступ.маломобильных'!$8:$11</definedName>
    <definedName name="Z_2EF908A7_3CB6_44E9_B36E_C5E6228059C9_.wvu.PrintTitles" localSheetId="29" hidden="1">лист!$8:$11</definedName>
    <definedName name="Z_2EF908A7_3CB6_44E9_B36E_C5E6228059C9_.wvu.PrintTitles" localSheetId="30" hidden="1">'лист (2)'!$8:$11</definedName>
    <definedName name="Z_2EF908A7_3CB6_44E9_B36E_C5E6228059C9_.wvu.PrintTitles" localSheetId="1" hidden="1">'непрограммные расходы'!$8:$11</definedName>
    <definedName name="Z_2EF908A7_3CB6_44E9_B36E_C5E6228059C9_.wvu.PrintTitles" localSheetId="0" hidden="1">СВОД!$7:$10</definedName>
    <definedName name="Z_2EF908A7_3CB6_44E9_B36E_C5E6228059C9_.wvu.Rows" localSheetId="2" hidden="1">'01_молодежная политика'!$26:$26</definedName>
    <definedName name="Z_2EF908A7_3CB6_44E9_B36E_C5E6228059C9_.wvu.Rows" localSheetId="3" hidden="1">'02_летний отдых'!$19:$23</definedName>
    <definedName name="Z_2EF908A7_3CB6_44E9_B36E_C5E6228059C9_.wvu.Rows" localSheetId="4" hidden="1">'03_УМТО'!$16:$17</definedName>
    <definedName name="Z_2EF908A7_3CB6_44E9_B36E_C5E6228059C9_.wvu.Rows" localSheetId="5" hidden="1">'04_ развитие сферы культуры'!$23:$33</definedName>
    <definedName name="Z_2EF908A7_3CB6_44E9_B36E_C5E6228059C9_.wvu.Rows" localSheetId="6" hidden="1">'05_ развитие муниц.службы'!#REF!</definedName>
    <definedName name="Z_2EF908A7_3CB6_44E9_B36E_C5E6228059C9_.wvu.Rows" localSheetId="7" hidden="1">'06_ охрана труда'!#REF!</definedName>
    <definedName name="Z_2EF908A7_3CB6_44E9_B36E_C5E6228059C9_.wvu.Rows" localSheetId="8" hidden="1">'07_равитие жил.сферы'!$23:$37</definedName>
    <definedName name="Z_2EF908A7_3CB6_44E9_B36E_C5E6228059C9_.wvu.Rows" localSheetId="9" hidden="1">'08_ профилактикаТиЭ'!$24:$38</definedName>
    <definedName name="Z_2EF908A7_3CB6_44E9_B36E_C5E6228059C9_.wvu.Rows" localSheetId="10" hidden="1">'09_ поддержка СМП'!$12:$19</definedName>
    <definedName name="Z_2EF908A7_3CB6_44E9_B36E_C5E6228059C9_.wvu.Rows" localSheetId="11" hidden="1">'10_градостроительная деят'!$17:$19</definedName>
    <definedName name="Z_2EF908A7_3CB6_44E9_B36E_C5E6228059C9_.wvu.Rows" localSheetId="12" hidden="1">'11_проводействие коррупц'!#REF!</definedName>
    <definedName name="Z_2EF908A7_3CB6_44E9_B36E_C5E6228059C9_.wvu.Rows" localSheetId="13" hidden="1">'12_информирование'!#REF!</definedName>
    <definedName name="Z_2EF908A7_3CB6_44E9_B36E_C5E6228059C9_.wvu.Rows" localSheetId="14" hidden="1">'13_ управление имуществом'!$24:$30</definedName>
    <definedName name="Z_2EF908A7_3CB6_44E9_B36E_C5E6228059C9_.wvu.Rows" localSheetId="15" hidden="1">'14_ управление муниц.финансами'!$22:$25</definedName>
    <definedName name="Z_2EF908A7_3CB6_44E9_B36E_C5E6228059C9_.wvu.Rows" localSheetId="16" hidden="1">'15_транспортная'!#REF!</definedName>
    <definedName name="Z_2EF908A7_3CB6_44E9_B36E_C5E6228059C9_.wvu.Rows" localSheetId="17" hidden="1">'16_ обеспеч. жильем молодых '!$23:$37</definedName>
    <definedName name="Z_2EF908A7_3CB6_44E9_B36E_C5E6228059C9_.wvu.Rows" localSheetId="18" hidden="1">'17_ развитие физ.и спорта'!#REF!</definedName>
    <definedName name="Z_2EF908A7_3CB6_44E9_B36E_C5E6228059C9_.wvu.Rows" localSheetId="19" hidden="1">'18_ отд.полн.в сфере опеки'!#REF!</definedName>
    <definedName name="Z_2EF908A7_3CB6_44E9_B36E_C5E6228059C9_.wvu.Rows" localSheetId="20" hidden="1">'19_поддержка СОНО'!#REF!</definedName>
    <definedName name="Z_2EF908A7_3CB6_44E9_B36E_C5E6228059C9_.wvu.Rows" localSheetId="21" hidden="1">'20_ развитие ЖКХ'!$24:$32</definedName>
    <definedName name="Z_2EF908A7_3CB6_44E9_B36E_C5E6228059C9_.wvu.Rows" localSheetId="22" hidden="1">'22_ ОБЖ'!#REF!</definedName>
    <definedName name="Z_2EF908A7_3CB6_44E9_B36E_C5E6228059C9_.wvu.Rows" localSheetId="23" hidden="1">'23_ликвид. приспособ.строений'!$23:$37</definedName>
    <definedName name="Z_2EF908A7_3CB6_44E9_B36E_C5E6228059C9_.wvu.Rows" localSheetId="24" hidden="1">'24_ эколог.без-ть)'!$16:$21</definedName>
    <definedName name="Z_2EF908A7_3CB6_44E9_B36E_C5E6228059C9_.wvu.Rows" localSheetId="25" hidden="1">'27_ информац.общество'!$18:$28</definedName>
    <definedName name="Z_2EF908A7_3CB6_44E9_B36E_C5E6228059C9_.wvu.Rows" localSheetId="26" hidden="1">'28_ развитие образования'!#REF!</definedName>
    <definedName name="Z_2EF908A7_3CB6_44E9_B36E_C5E6228059C9_.wvu.Rows" localSheetId="27" hidden="1">'29_ФСГС'!$11:$14</definedName>
    <definedName name="Z_2EF908A7_3CB6_44E9_B36E_C5E6228059C9_.wvu.Rows" localSheetId="28" hidden="1">'33_ доступ.маломобильных'!#REF!</definedName>
    <definedName name="Z_2EF908A7_3CB6_44E9_B36E_C5E6228059C9_.wvu.Rows" localSheetId="29" hidden="1">лист!$23:$37</definedName>
    <definedName name="Z_2EF908A7_3CB6_44E9_B36E_C5E6228059C9_.wvu.Rows" localSheetId="30" hidden="1">'лист (2)'!$23:$37</definedName>
    <definedName name="Z_2EF908A7_3CB6_44E9_B36E_C5E6228059C9_.wvu.Rows" localSheetId="1" hidden="1">'непрограммные расходы'!$14:$15</definedName>
    <definedName name="Z_3EDDB5B9_BC77_4202_8F70_9C3651D44459_.wvu.PrintTitles" localSheetId="2" hidden="1">'01_молодежная политика'!$8:$11</definedName>
    <definedName name="Z_3EDDB5B9_BC77_4202_8F70_9C3651D44459_.wvu.PrintTitles" localSheetId="3" hidden="1">'02_летний отдых'!$8:$11</definedName>
    <definedName name="Z_3EDDB5B9_BC77_4202_8F70_9C3651D44459_.wvu.PrintTitles" localSheetId="4" hidden="1">'03_УМТО'!$8:$11</definedName>
    <definedName name="Z_3EDDB5B9_BC77_4202_8F70_9C3651D44459_.wvu.PrintTitles" localSheetId="5" hidden="1">'04_ развитие сферы культуры'!$8:$11</definedName>
    <definedName name="Z_3EDDB5B9_BC77_4202_8F70_9C3651D44459_.wvu.PrintTitles" localSheetId="6" hidden="1">'05_ развитие муниц.службы'!$8:$11</definedName>
    <definedName name="Z_3EDDB5B9_BC77_4202_8F70_9C3651D44459_.wvu.PrintTitles" localSheetId="7" hidden="1">'06_ охрана труда'!$8:$11</definedName>
    <definedName name="Z_3EDDB5B9_BC77_4202_8F70_9C3651D44459_.wvu.PrintTitles" localSheetId="8" hidden="1">'07_равитие жил.сферы'!$8:$11</definedName>
    <definedName name="Z_3EDDB5B9_BC77_4202_8F70_9C3651D44459_.wvu.PrintTitles" localSheetId="9" hidden="1">'08_ профилактикаТиЭ'!$8:$11</definedName>
    <definedName name="Z_3EDDB5B9_BC77_4202_8F70_9C3651D44459_.wvu.PrintTitles" localSheetId="10" hidden="1">'09_ поддержка СМП'!$8:$11</definedName>
    <definedName name="Z_3EDDB5B9_BC77_4202_8F70_9C3651D44459_.wvu.PrintTitles" localSheetId="11" hidden="1">'10_градостроительная деят'!$8:$11</definedName>
    <definedName name="Z_3EDDB5B9_BC77_4202_8F70_9C3651D44459_.wvu.PrintTitles" localSheetId="12" hidden="1">'11_проводействие коррупц'!$8:$11</definedName>
    <definedName name="Z_3EDDB5B9_BC77_4202_8F70_9C3651D44459_.wvu.PrintTitles" localSheetId="13" hidden="1">'12_информирование'!$8:$11</definedName>
    <definedName name="Z_3EDDB5B9_BC77_4202_8F70_9C3651D44459_.wvu.PrintTitles" localSheetId="14" hidden="1">'13_ управление имуществом'!$8:$11</definedName>
    <definedName name="Z_3EDDB5B9_BC77_4202_8F70_9C3651D44459_.wvu.PrintTitles" localSheetId="15" hidden="1">'14_ управление муниц.финансами'!$8:$11</definedName>
    <definedName name="Z_3EDDB5B9_BC77_4202_8F70_9C3651D44459_.wvu.PrintTitles" localSheetId="16" hidden="1">'15_транспортная'!$8:$11</definedName>
    <definedName name="Z_3EDDB5B9_BC77_4202_8F70_9C3651D44459_.wvu.PrintTitles" localSheetId="17" hidden="1">'16_ обеспеч. жильем молодых '!$8:$11</definedName>
    <definedName name="Z_3EDDB5B9_BC77_4202_8F70_9C3651D44459_.wvu.PrintTitles" localSheetId="18" hidden="1">'17_ развитие физ.и спорта'!$8:$11</definedName>
    <definedName name="Z_3EDDB5B9_BC77_4202_8F70_9C3651D44459_.wvu.PrintTitles" localSheetId="19" hidden="1">'18_ отд.полн.в сфере опеки'!$8:$11</definedName>
    <definedName name="Z_3EDDB5B9_BC77_4202_8F70_9C3651D44459_.wvu.PrintTitles" localSheetId="20" hidden="1">'19_поддержка СОНО'!$8:$11</definedName>
    <definedName name="Z_3EDDB5B9_BC77_4202_8F70_9C3651D44459_.wvu.PrintTitles" localSheetId="21" hidden="1">'20_ развитие ЖКХ'!$8:$11</definedName>
    <definedName name="Z_3EDDB5B9_BC77_4202_8F70_9C3651D44459_.wvu.PrintTitles" localSheetId="22" hidden="1">'22_ ОБЖ'!$8:$11</definedName>
    <definedName name="Z_3EDDB5B9_BC77_4202_8F70_9C3651D44459_.wvu.PrintTitles" localSheetId="23" hidden="1">'23_ликвид. приспособ.строений'!$8:$11</definedName>
    <definedName name="Z_3EDDB5B9_BC77_4202_8F70_9C3651D44459_.wvu.PrintTitles" localSheetId="24" hidden="1">'24_ эколог.без-ть)'!$8:$11</definedName>
    <definedName name="Z_3EDDB5B9_BC77_4202_8F70_9C3651D44459_.wvu.PrintTitles" localSheetId="25" hidden="1">'27_ информац.общество'!$8:$11</definedName>
    <definedName name="Z_3EDDB5B9_BC77_4202_8F70_9C3651D44459_.wvu.PrintTitles" localSheetId="26" hidden="1">'28_ развитие образования'!$8:$11</definedName>
    <definedName name="Z_3EDDB5B9_BC77_4202_8F70_9C3651D44459_.wvu.PrintTitles" localSheetId="27" hidden="1">'29_ФСГС'!$8:$10</definedName>
    <definedName name="Z_3EDDB5B9_BC77_4202_8F70_9C3651D44459_.wvu.PrintTitles" localSheetId="28" hidden="1">'33_ доступ.маломобильных'!$8:$11</definedName>
    <definedName name="Z_3EDDB5B9_BC77_4202_8F70_9C3651D44459_.wvu.PrintTitles" localSheetId="29" hidden="1">лист!$8:$11</definedName>
    <definedName name="Z_3EDDB5B9_BC77_4202_8F70_9C3651D44459_.wvu.PrintTitles" localSheetId="30" hidden="1">'лист (2)'!$8:$11</definedName>
    <definedName name="Z_3EDDB5B9_BC77_4202_8F70_9C3651D44459_.wvu.PrintTitles" localSheetId="1" hidden="1">'непрограммные расходы'!$8:$11</definedName>
    <definedName name="Z_3EDDB5B9_BC77_4202_8F70_9C3651D44459_.wvu.Rows" localSheetId="2" hidden="1">'01_молодежная политика'!$26:$26</definedName>
    <definedName name="Z_3EDDB5B9_BC77_4202_8F70_9C3651D44459_.wvu.Rows" localSheetId="3" hidden="1">'02_летний отдых'!$19:$23</definedName>
    <definedName name="Z_3EDDB5B9_BC77_4202_8F70_9C3651D44459_.wvu.Rows" localSheetId="4" hidden="1">'03_УМТО'!$16:$17</definedName>
    <definedName name="Z_3EDDB5B9_BC77_4202_8F70_9C3651D44459_.wvu.Rows" localSheetId="5" hidden="1">'04_ развитие сферы культуры'!$23:$33</definedName>
    <definedName name="Z_3EDDB5B9_BC77_4202_8F70_9C3651D44459_.wvu.Rows" localSheetId="6" hidden="1">'05_ развитие муниц.службы'!#REF!</definedName>
    <definedName name="Z_3EDDB5B9_BC77_4202_8F70_9C3651D44459_.wvu.Rows" localSheetId="7" hidden="1">'06_ охрана труда'!#REF!</definedName>
    <definedName name="Z_3EDDB5B9_BC77_4202_8F70_9C3651D44459_.wvu.Rows" localSheetId="8" hidden="1">'07_равитие жил.сферы'!$23:$37</definedName>
    <definedName name="Z_3EDDB5B9_BC77_4202_8F70_9C3651D44459_.wvu.Rows" localSheetId="9" hidden="1">'08_ профилактикаТиЭ'!$24:$38</definedName>
    <definedName name="Z_3EDDB5B9_BC77_4202_8F70_9C3651D44459_.wvu.Rows" localSheetId="10" hidden="1">'09_ поддержка СМП'!$12:$19</definedName>
    <definedName name="Z_3EDDB5B9_BC77_4202_8F70_9C3651D44459_.wvu.Rows" localSheetId="11" hidden="1">'10_градостроительная деят'!$17:$19</definedName>
    <definedName name="Z_3EDDB5B9_BC77_4202_8F70_9C3651D44459_.wvu.Rows" localSheetId="12" hidden="1">'11_проводействие коррупц'!#REF!</definedName>
    <definedName name="Z_3EDDB5B9_BC77_4202_8F70_9C3651D44459_.wvu.Rows" localSheetId="13" hidden="1">'12_информирование'!#REF!</definedName>
    <definedName name="Z_3EDDB5B9_BC77_4202_8F70_9C3651D44459_.wvu.Rows" localSheetId="14" hidden="1">'13_ управление имуществом'!$24:$30</definedName>
    <definedName name="Z_3EDDB5B9_BC77_4202_8F70_9C3651D44459_.wvu.Rows" localSheetId="15" hidden="1">'14_ управление муниц.финансами'!$22:$25</definedName>
    <definedName name="Z_3EDDB5B9_BC77_4202_8F70_9C3651D44459_.wvu.Rows" localSheetId="16" hidden="1">'15_транспортная'!#REF!</definedName>
    <definedName name="Z_3EDDB5B9_BC77_4202_8F70_9C3651D44459_.wvu.Rows" localSheetId="17" hidden="1">'16_ обеспеч. жильем молодых '!$23:$37</definedName>
    <definedName name="Z_3EDDB5B9_BC77_4202_8F70_9C3651D44459_.wvu.Rows" localSheetId="18" hidden="1">'17_ развитие физ.и спорта'!#REF!</definedName>
    <definedName name="Z_3EDDB5B9_BC77_4202_8F70_9C3651D44459_.wvu.Rows" localSheetId="19" hidden="1">'18_ отд.полн.в сфере опеки'!#REF!</definedName>
    <definedName name="Z_3EDDB5B9_BC77_4202_8F70_9C3651D44459_.wvu.Rows" localSheetId="20" hidden="1">'19_поддержка СОНО'!#REF!</definedName>
    <definedName name="Z_3EDDB5B9_BC77_4202_8F70_9C3651D44459_.wvu.Rows" localSheetId="21" hidden="1">'20_ развитие ЖКХ'!$24:$32</definedName>
    <definedName name="Z_3EDDB5B9_BC77_4202_8F70_9C3651D44459_.wvu.Rows" localSheetId="22" hidden="1">'22_ ОБЖ'!#REF!</definedName>
    <definedName name="Z_3EDDB5B9_BC77_4202_8F70_9C3651D44459_.wvu.Rows" localSheetId="23" hidden="1">'23_ликвид. приспособ.строений'!$23:$37</definedName>
    <definedName name="Z_3EDDB5B9_BC77_4202_8F70_9C3651D44459_.wvu.Rows" localSheetId="24" hidden="1">'24_ эколог.без-ть)'!$16:$21</definedName>
    <definedName name="Z_3EDDB5B9_BC77_4202_8F70_9C3651D44459_.wvu.Rows" localSheetId="25" hidden="1">'27_ информац.общество'!$18:$28</definedName>
    <definedName name="Z_3EDDB5B9_BC77_4202_8F70_9C3651D44459_.wvu.Rows" localSheetId="26" hidden="1">'28_ развитие образования'!#REF!</definedName>
    <definedName name="Z_3EDDB5B9_BC77_4202_8F70_9C3651D44459_.wvu.Rows" localSheetId="27" hidden="1">'29_ФСГС'!$11:$14</definedName>
    <definedName name="Z_3EDDB5B9_BC77_4202_8F70_9C3651D44459_.wvu.Rows" localSheetId="28" hidden="1">'33_ доступ.маломобильных'!#REF!</definedName>
    <definedName name="Z_3EDDB5B9_BC77_4202_8F70_9C3651D44459_.wvu.Rows" localSheetId="29" hidden="1">лист!$23:$37</definedName>
    <definedName name="Z_3EDDB5B9_BC77_4202_8F70_9C3651D44459_.wvu.Rows" localSheetId="30" hidden="1">'лист (2)'!$23:$37</definedName>
    <definedName name="Z_3EDDB5B9_BC77_4202_8F70_9C3651D44459_.wvu.Rows" localSheetId="1" hidden="1">'непрограммные расходы'!$14:$15</definedName>
    <definedName name="Z_45FCA6AB_AB6F_4F22_9438_33A76E5A8860_.wvu.PrintTitles" localSheetId="2" hidden="1">'01_молодежная политика'!$8:$11</definedName>
    <definedName name="Z_45FCA6AB_AB6F_4F22_9438_33A76E5A8860_.wvu.PrintTitles" localSheetId="3" hidden="1">'02_летний отдых'!$8:$11</definedName>
    <definedName name="Z_45FCA6AB_AB6F_4F22_9438_33A76E5A8860_.wvu.PrintTitles" localSheetId="4" hidden="1">'03_УМТО'!$8:$11</definedName>
    <definedName name="Z_45FCA6AB_AB6F_4F22_9438_33A76E5A8860_.wvu.PrintTitles" localSheetId="5" hidden="1">'04_ развитие сферы культуры'!$8:$11</definedName>
    <definedName name="Z_45FCA6AB_AB6F_4F22_9438_33A76E5A8860_.wvu.PrintTitles" localSheetId="6" hidden="1">'05_ развитие муниц.службы'!$8:$11</definedName>
    <definedName name="Z_45FCA6AB_AB6F_4F22_9438_33A76E5A8860_.wvu.PrintTitles" localSheetId="7" hidden="1">'06_ охрана труда'!$8:$11</definedName>
    <definedName name="Z_45FCA6AB_AB6F_4F22_9438_33A76E5A8860_.wvu.PrintTitles" localSheetId="8" hidden="1">'07_равитие жил.сферы'!$8:$11</definedName>
    <definedName name="Z_45FCA6AB_AB6F_4F22_9438_33A76E5A8860_.wvu.PrintTitles" localSheetId="9" hidden="1">'08_ профилактикаТиЭ'!$8:$11</definedName>
    <definedName name="Z_45FCA6AB_AB6F_4F22_9438_33A76E5A8860_.wvu.PrintTitles" localSheetId="10" hidden="1">'09_ поддержка СМП'!$8:$11</definedName>
    <definedName name="Z_45FCA6AB_AB6F_4F22_9438_33A76E5A8860_.wvu.PrintTitles" localSheetId="11" hidden="1">'10_градостроительная деят'!$8:$11</definedName>
    <definedName name="Z_45FCA6AB_AB6F_4F22_9438_33A76E5A8860_.wvu.PrintTitles" localSheetId="12" hidden="1">'11_проводействие коррупц'!$8:$11</definedName>
    <definedName name="Z_45FCA6AB_AB6F_4F22_9438_33A76E5A8860_.wvu.PrintTitles" localSheetId="13" hidden="1">'12_информирование'!$8:$11</definedName>
    <definedName name="Z_45FCA6AB_AB6F_4F22_9438_33A76E5A8860_.wvu.PrintTitles" localSheetId="14" hidden="1">'13_ управление имуществом'!$8:$11</definedName>
    <definedName name="Z_45FCA6AB_AB6F_4F22_9438_33A76E5A8860_.wvu.PrintTitles" localSheetId="15" hidden="1">'14_ управление муниц.финансами'!$8:$11</definedName>
    <definedName name="Z_45FCA6AB_AB6F_4F22_9438_33A76E5A8860_.wvu.PrintTitles" localSheetId="16" hidden="1">'15_транспортная'!$8:$11</definedName>
    <definedName name="Z_45FCA6AB_AB6F_4F22_9438_33A76E5A8860_.wvu.PrintTitles" localSheetId="17" hidden="1">'16_ обеспеч. жильем молодых '!$8:$11</definedName>
    <definedName name="Z_45FCA6AB_AB6F_4F22_9438_33A76E5A8860_.wvu.PrintTitles" localSheetId="18" hidden="1">'17_ развитие физ.и спорта'!$8:$11</definedName>
    <definedName name="Z_45FCA6AB_AB6F_4F22_9438_33A76E5A8860_.wvu.PrintTitles" localSheetId="19" hidden="1">'18_ отд.полн.в сфере опеки'!$8:$11</definedName>
    <definedName name="Z_45FCA6AB_AB6F_4F22_9438_33A76E5A8860_.wvu.PrintTitles" localSheetId="20" hidden="1">'19_поддержка СОНО'!$8:$11</definedName>
    <definedName name="Z_45FCA6AB_AB6F_4F22_9438_33A76E5A8860_.wvu.PrintTitles" localSheetId="21" hidden="1">'20_ развитие ЖКХ'!$8:$11</definedName>
    <definedName name="Z_45FCA6AB_AB6F_4F22_9438_33A76E5A8860_.wvu.PrintTitles" localSheetId="22" hidden="1">'22_ ОБЖ'!$8:$11</definedName>
    <definedName name="Z_45FCA6AB_AB6F_4F22_9438_33A76E5A8860_.wvu.PrintTitles" localSheetId="23" hidden="1">'23_ликвид. приспособ.строений'!$8:$11</definedName>
    <definedName name="Z_45FCA6AB_AB6F_4F22_9438_33A76E5A8860_.wvu.PrintTitles" localSheetId="24" hidden="1">'24_ эколог.без-ть)'!$8:$11</definedName>
    <definedName name="Z_45FCA6AB_AB6F_4F22_9438_33A76E5A8860_.wvu.PrintTitles" localSheetId="25" hidden="1">'27_ информац.общество'!$8:$11</definedName>
    <definedName name="Z_45FCA6AB_AB6F_4F22_9438_33A76E5A8860_.wvu.PrintTitles" localSheetId="26" hidden="1">'28_ развитие образования'!$8:$11</definedName>
    <definedName name="Z_45FCA6AB_AB6F_4F22_9438_33A76E5A8860_.wvu.PrintTitles" localSheetId="27" hidden="1">'29_ФСГС'!$8:$10</definedName>
    <definedName name="Z_45FCA6AB_AB6F_4F22_9438_33A76E5A8860_.wvu.PrintTitles" localSheetId="28" hidden="1">'33_ доступ.маломобильных'!$8:$11</definedName>
    <definedName name="Z_45FCA6AB_AB6F_4F22_9438_33A76E5A8860_.wvu.PrintTitles" localSheetId="29" hidden="1">лист!$8:$11</definedName>
    <definedName name="Z_45FCA6AB_AB6F_4F22_9438_33A76E5A8860_.wvu.PrintTitles" localSheetId="30" hidden="1">'лист (2)'!$8:$11</definedName>
    <definedName name="Z_45FCA6AB_AB6F_4F22_9438_33A76E5A8860_.wvu.PrintTitles" localSheetId="1" hidden="1">'непрограммные расходы'!$8:$11</definedName>
    <definedName name="Z_45FCA6AB_AB6F_4F22_9438_33A76E5A8860_.wvu.Rows" localSheetId="3" hidden="1">'02_летний отдых'!$19:$23</definedName>
    <definedName name="Z_45FCA6AB_AB6F_4F22_9438_33A76E5A8860_.wvu.Rows" localSheetId="5" hidden="1">'04_ развитие сферы культуры'!$18:$18</definedName>
    <definedName name="Z_45FCA6AB_AB6F_4F22_9438_33A76E5A8860_.wvu.Rows" localSheetId="8" hidden="1">'07_равитие жил.сферы'!$13:$37</definedName>
    <definedName name="Z_45FCA6AB_AB6F_4F22_9438_33A76E5A8860_.wvu.Rows" localSheetId="9" hidden="1">'08_ профилактикаТиЭ'!$16:$19,'08_ профилактикаТиЭ'!$34:$37</definedName>
    <definedName name="Z_45FCA6AB_AB6F_4F22_9438_33A76E5A8860_.wvu.Rows" localSheetId="17" hidden="1">'16_ обеспеч. жильем молодых '!$13:$37</definedName>
    <definedName name="Z_49CFD9BB_4553_4961_98FA_54D606D77CB3_.wvu.PrintTitles" localSheetId="2" hidden="1">'01_молодежная политика'!$8:$11</definedName>
    <definedName name="Z_49CFD9BB_4553_4961_98FA_54D606D77CB3_.wvu.PrintTitles" localSheetId="3" hidden="1">'02_летний отдых'!$8:$11</definedName>
    <definedName name="Z_49CFD9BB_4553_4961_98FA_54D606D77CB3_.wvu.PrintTitles" localSheetId="4" hidden="1">'03_УМТО'!$8:$11</definedName>
    <definedName name="Z_49CFD9BB_4553_4961_98FA_54D606D77CB3_.wvu.PrintTitles" localSheetId="5" hidden="1">'04_ развитие сферы культуры'!$8:$11</definedName>
    <definedName name="Z_49CFD9BB_4553_4961_98FA_54D606D77CB3_.wvu.PrintTitles" localSheetId="6" hidden="1">'05_ развитие муниц.службы'!$8:$11</definedName>
    <definedName name="Z_49CFD9BB_4553_4961_98FA_54D606D77CB3_.wvu.PrintTitles" localSheetId="7" hidden="1">'06_ охрана труда'!$8:$11</definedName>
    <definedName name="Z_49CFD9BB_4553_4961_98FA_54D606D77CB3_.wvu.PrintTitles" localSheetId="8" hidden="1">'07_равитие жил.сферы'!$8:$11</definedName>
    <definedName name="Z_49CFD9BB_4553_4961_98FA_54D606D77CB3_.wvu.PrintTitles" localSheetId="9" hidden="1">'08_ профилактикаТиЭ'!$8:$11</definedName>
    <definedName name="Z_49CFD9BB_4553_4961_98FA_54D606D77CB3_.wvu.PrintTitles" localSheetId="10" hidden="1">'09_ поддержка СМП'!$8:$11</definedName>
    <definedName name="Z_49CFD9BB_4553_4961_98FA_54D606D77CB3_.wvu.PrintTitles" localSheetId="11" hidden="1">'10_градостроительная деят'!$8:$11</definedName>
    <definedName name="Z_49CFD9BB_4553_4961_98FA_54D606D77CB3_.wvu.PrintTitles" localSheetId="12" hidden="1">'11_проводействие коррупц'!$8:$11</definedName>
    <definedName name="Z_49CFD9BB_4553_4961_98FA_54D606D77CB3_.wvu.PrintTitles" localSheetId="13" hidden="1">'12_информирование'!$8:$11</definedName>
    <definedName name="Z_49CFD9BB_4553_4961_98FA_54D606D77CB3_.wvu.PrintTitles" localSheetId="14" hidden="1">'13_ управление имуществом'!$8:$11</definedName>
    <definedName name="Z_49CFD9BB_4553_4961_98FA_54D606D77CB3_.wvu.PrintTitles" localSheetId="15" hidden="1">'14_ управление муниц.финансами'!$8:$11</definedName>
    <definedName name="Z_49CFD9BB_4553_4961_98FA_54D606D77CB3_.wvu.PrintTitles" localSheetId="16" hidden="1">'15_транспортная'!$8:$11</definedName>
    <definedName name="Z_49CFD9BB_4553_4961_98FA_54D606D77CB3_.wvu.PrintTitles" localSheetId="17" hidden="1">'16_ обеспеч. жильем молодых '!$8:$11</definedName>
    <definedName name="Z_49CFD9BB_4553_4961_98FA_54D606D77CB3_.wvu.PrintTitles" localSheetId="18" hidden="1">'17_ развитие физ.и спорта'!$8:$11</definedName>
    <definedName name="Z_49CFD9BB_4553_4961_98FA_54D606D77CB3_.wvu.PrintTitles" localSheetId="19" hidden="1">'18_ отд.полн.в сфере опеки'!$8:$11</definedName>
    <definedName name="Z_49CFD9BB_4553_4961_98FA_54D606D77CB3_.wvu.PrintTitles" localSheetId="20" hidden="1">'19_поддержка СОНО'!$8:$11</definedName>
    <definedName name="Z_49CFD9BB_4553_4961_98FA_54D606D77CB3_.wvu.PrintTitles" localSheetId="21" hidden="1">'20_ развитие ЖКХ'!$8:$11</definedName>
    <definedName name="Z_49CFD9BB_4553_4961_98FA_54D606D77CB3_.wvu.PrintTitles" localSheetId="22" hidden="1">'22_ ОБЖ'!$8:$11</definedName>
    <definedName name="Z_49CFD9BB_4553_4961_98FA_54D606D77CB3_.wvu.PrintTitles" localSheetId="23" hidden="1">'23_ликвид. приспособ.строений'!$8:$11</definedName>
    <definedName name="Z_49CFD9BB_4553_4961_98FA_54D606D77CB3_.wvu.PrintTitles" localSheetId="24" hidden="1">'24_ эколог.без-ть)'!$8:$11</definedName>
    <definedName name="Z_49CFD9BB_4553_4961_98FA_54D606D77CB3_.wvu.PrintTitles" localSheetId="25" hidden="1">'27_ информац.общество'!$8:$11</definedName>
    <definedName name="Z_49CFD9BB_4553_4961_98FA_54D606D77CB3_.wvu.PrintTitles" localSheetId="26" hidden="1">'28_ развитие образования'!$8:$11</definedName>
    <definedName name="Z_49CFD9BB_4553_4961_98FA_54D606D77CB3_.wvu.PrintTitles" localSheetId="27" hidden="1">'29_ФСГС'!$8:$10</definedName>
    <definedName name="Z_49CFD9BB_4553_4961_98FA_54D606D77CB3_.wvu.PrintTitles" localSheetId="28" hidden="1">'33_ доступ.маломобильных'!$8:$11</definedName>
    <definedName name="Z_49CFD9BB_4553_4961_98FA_54D606D77CB3_.wvu.PrintTitles" localSheetId="29" hidden="1">лист!$8:$11</definedName>
    <definedName name="Z_49CFD9BB_4553_4961_98FA_54D606D77CB3_.wvu.PrintTitles" localSheetId="30" hidden="1">'лист (2)'!$8:$11</definedName>
    <definedName name="Z_49CFD9BB_4553_4961_98FA_54D606D77CB3_.wvu.PrintTitles" localSheetId="1" hidden="1">'непрограммные расходы'!$8:$11</definedName>
    <definedName name="Z_49CFD9BB_4553_4961_98FA_54D606D77CB3_.wvu.Rows" localSheetId="2" hidden="1">'01_молодежная политика'!$26:$26</definedName>
    <definedName name="Z_49CFD9BB_4553_4961_98FA_54D606D77CB3_.wvu.Rows" localSheetId="3" hidden="1">'02_летний отдых'!$19:$23</definedName>
    <definedName name="Z_49CFD9BB_4553_4961_98FA_54D606D77CB3_.wvu.Rows" localSheetId="4" hidden="1">'03_УМТО'!$16:$17</definedName>
    <definedName name="Z_49CFD9BB_4553_4961_98FA_54D606D77CB3_.wvu.Rows" localSheetId="5" hidden="1">'04_ развитие сферы культуры'!$23:$33</definedName>
    <definedName name="Z_49CFD9BB_4553_4961_98FA_54D606D77CB3_.wvu.Rows" localSheetId="6" hidden="1">'05_ развитие муниц.службы'!#REF!</definedName>
    <definedName name="Z_49CFD9BB_4553_4961_98FA_54D606D77CB3_.wvu.Rows" localSheetId="7" hidden="1">'06_ охрана труда'!#REF!</definedName>
    <definedName name="Z_49CFD9BB_4553_4961_98FA_54D606D77CB3_.wvu.Rows" localSheetId="8" hidden="1">'07_равитие жил.сферы'!$23:$37</definedName>
    <definedName name="Z_49CFD9BB_4553_4961_98FA_54D606D77CB3_.wvu.Rows" localSheetId="9" hidden="1">'08_ профилактикаТиЭ'!$24:$38</definedName>
    <definedName name="Z_49CFD9BB_4553_4961_98FA_54D606D77CB3_.wvu.Rows" localSheetId="10" hidden="1">'09_ поддержка СМП'!$12:$19</definedName>
    <definedName name="Z_49CFD9BB_4553_4961_98FA_54D606D77CB3_.wvu.Rows" localSheetId="11" hidden="1">'10_градостроительная деят'!$17:$19</definedName>
    <definedName name="Z_49CFD9BB_4553_4961_98FA_54D606D77CB3_.wvu.Rows" localSheetId="12" hidden="1">'11_проводействие коррупц'!#REF!</definedName>
    <definedName name="Z_49CFD9BB_4553_4961_98FA_54D606D77CB3_.wvu.Rows" localSheetId="13" hidden="1">'12_информирование'!#REF!</definedName>
    <definedName name="Z_49CFD9BB_4553_4961_98FA_54D606D77CB3_.wvu.Rows" localSheetId="14" hidden="1">'13_ управление имуществом'!$24:$30</definedName>
    <definedName name="Z_49CFD9BB_4553_4961_98FA_54D606D77CB3_.wvu.Rows" localSheetId="15" hidden="1">'14_ управление муниц.финансами'!$22:$25</definedName>
    <definedName name="Z_49CFD9BB_4553_4961_98FA_54D606D77CB3_.wvu.Rows" localSheetId="16" hidden="1">'15_транспортная'!#REF!</definedName>
    <definedName name="Z_49CFD9BB_4553_4961_98FA_54D606D77CB3_.wvu.Rows" localSheetId="17" hidden="1">'16_ обеспеч. жильем молодых '!$23:$37</definedName>
    <definedName name="Z_49CFD9BB_4553_4961_98FA_54D606D77CB3_.wvu.Rows" localSheetId="18" hidden="1">'17_ развитие физ.и спорта'!#REF!</definedName>
    <definedName name="Z_49CFD9BB_4553_4961_98FA_54D606D77CB3_.wvu.Rows" localSheetId="19" hidden="1">'18_ отд.полн.в сфере опеки'!#REF!</definedName>
    <definedName name="Z_49CFD9BB_4553_4961_98FA_54D606D77CB3_.wvu.Rows" localSheetId="20" hidden="1">'19_поддержка СОНО'!#REF!</definedName>
    <definedName name="Z_49CFD9BB_4553_4961_98FA_54D606D77CB3_.wvu.Rows" localSheetId="21" hidden="1">'20_ развитие ЖКХ'!$24:$32</definedName>
    <definedName name="Z_49CFD9BB_4553_4961_98FA_54D606D77CB3_.wvu.Rows" localSheetId="22" hidden="1">'22_ ОБЖ'!#REF!</definedName>
    <definedName name="Z_49CFD9BB_4553_4961_98FA_54D606D77CB3_.wvu.Rows" localSheetId="23" hidden="1">'23_ликвид. приспособ.строений'!$23:$37</definedName>
    <definedName name="Z_49CFD9BB_4553_4961_98FA_54D606D77CB3_.wvu.Rows" localSheetId="24" hidden="1">'24_ эколог.без-ть)'!$16:$21</definedName>
    <definedName name="Z_49CFD9BB_4553_4961_98FA_54D606D77CB3_.wvu.Rows" localSheetId="25" hidden="1">'27_ информац.общество'!$18:$28</definedName>
    <definedName name="Z_49CFD9BB_4553_4961_98FA_54D606D77CB3_.wvu.Rows" localSheetId="26" hidden="1">'28_ развитие образования'!#REF!</definedName>
    <definedName name="Z_49CFD9BB_4553_4961_98FA_54D606D77CB3_.wvu.Rows" localSheetId="27" hidden="1">'29_ФСГС'!$11:$14</definedName>
    <definedName name="Z_49CFD9BB_4553_4961_98FA_54D606D77CB3_.wvu.Rows" localSheetId="28" hidden="1">'33_ доступ.маломобильных'!#REF!</definedName>
    <definedName name="Z_49CFD9BB_4553_4961_98FA_54D606D77CB3_.wvu.Rows" localSheetId="29" hidden="1">лист!$23:$37</definedName>
    <definedName name="Z_49CFD9BB_4553_4961_98FA_54D606D77CB3_.wvu.Rows" localSheetId="30" hidden="1">'лист (2)'!$23:$37</definedName>
    <definedName name="Z_49CFD9BB_4553_4961_98FA_54D606D77CB3_.wvu.Rows" localSheetId="1" hidden="1">'непрограммные расходы'!$14:$15</definedName>
    <definedName name="Z_5E847525_B5B0_4151_9870_F971B482221C_.wvu.PrintTitles" localSheetId="2" hidden="1">'01_молодежная политика'!$8:$11</definedName>
    <definedName name="Z_5E847525_B5B0_4151_9870_F971B482221C_.wvu.PrintTitles" localSheetId="3" hidden="1">'02_летний отдых'!$8:$11</definedName>
    <definedName name="Z_5E847525_B5B0_4151_9870_F971B482221C_.wvu.PrintTitles" localSheetId="4" hidden="1">'03_УМТО'!$8:$11</definedName>
    <definedName name="Z_5E847525_B5B0_4151_9870_F971B482221C_.wvu.PrintTitles" localSheetId="5" hidden="1">'04_ развитие сферы культуры'!$8:$11</definedName>
    <definedName name="Z_5E847525_B5B0_4151_9870_F971B482221C_.wvu.PrintTitles" localSheetId="6" hidden="1">'05_ развитие муниц.службы'!$8:$11</definedName>
    <definedName name="Z_5E847525_B5B0_4151_9870_F971B482221C_.wvu.PrintTitles" localSheetId="7" hidden="1">'06_ охрана труда'!$8:$11</definedName>
    <definedName name="Z_5E847525_B5B0_4151_9870_F971B482221C_.wvu.PrintTitles" localSheetId="8" hidden="1">'07_равитие жил.сферы'!$8:$11</definedName>
    <definedName name="Z_5E847525_B5B0_4151_9870_F971B482221C_.wvu.PrintTitles" localSheetId="9" hidden="1">'08_ профилактикаТиЭ'!$8:$11</definedName>
    <definedName name="Z_5E847525_B5B0_4151_9870_F971B482221C_.wvu.PrintTitles" localSheetId="10" hidden="1">'09_ поддержка СМП'!$8:$11</definedName>
    <definedName name="Z_5E847525_B5B0_4151_9870_F971B482221C_.wvu.PrintTitles" localSheetId="11" hidden="1">'10_градостроительная деят'!$8:$11</definedName>
    <definedName name="Z_5E847525_B5B0_4151_9870_F971B482221C_.wvu.PrintTitles" localSheetId="12" hidden="1">'11_проводействие коррупц'!$8:$11</definedName>
    <definedName name="Z_5E847525_B5B0_4151_9870_F971B482221C_.wvu.PrintTitles" localSheetId="13" hidden="1">'12_информирование'!$8:$11</definedName>
    <definedName name="Z_5E847525_B5B0_4151_9870_F971B482221C_.wvu.PrintTitles" localSheetId="14" hidden="1">'13_ управление имуществом'!$8:$11</definedName>
    <definedName name="Z_5E847525_B5B0_4151_9870_F971B482221C_.wvu.PrintTitles" localSheetId="15" hidden="1">'14_ управление муниц.финансами'!$8:$11</definedName>
    <definedName name="Z_5E847525_B5B0_4151_9870_F971B482221C_.wvu.PrintTitles" localSheetId="16" hidden="1">'15_транспортная'!$8:$11</definedName>
    <definedName name="Z_5E847525_B5B0_4151_9870_F971B482221C_.wvu.PrintTitles" localSheetId="17" hidden="1">'16_ обеспеч. жильем молодых '!$8:$11</definedName>
    <definedName name="Z_5E847525_B5B0_4151_9870_F971B482221C_.wvu.PrintTitles" localSheetId="18" hidden="1">'17_ развитие физ.и спорта'!$8:$11</definedName>
    <definedName name="Z_5E847525_B5B0_4151_9870_F971B482221C_.wvu.PrintTitles" localSheetId="19" hidden="1">'18_ отд.полн.в сфере опеки'!$8:$11</definedName>
    <definedName name="Z_5E847525_B5B0_4151_9870_F971B482221C_.wvu.PrintTitles" localSheetId="20" hidden="1">'19_поддержка СОНО'!$8:$11</definedName>
    <definedName name="Z_5E847525_B5B0_4151_9870_F971B482221C_.wvu.PrintTitles" localSheetId="21" hidden="1">'20_ развитие ЖКХ'!$8:$11</definedName>
    <definedName name="Z_5E847525_B5B0_4151_9870_F971B482221C_.wvu.PrintTitles" localSheetId="22" hidden="1">'22_ ОБЖ'!$8:$11</definedName>
    <definedName name="Z_5E847525_B5B0_4151_9870_F971B482221C_.wvu.PrintTitles" localSheetId="23" hidden="1">'23_ликвид. приспособ.строений'!$8:$11</definedName>
    <definedName name="Z_5E847525_B5B0_4151_9870_F971B482221C_.wvu.PrintTitles" localSheetId="24" hidden="1">'24_ эколог.без-ть)'!$8:$11</definedName>
    <definedName name="Z_5E847525_B5B0_4151_9870_F971B482221C_.wvu.PrintTitles" localSheetId="25" hidden="1">'27_ информац.общество'!$8:$11</definedName>
    <definedName name="Z_5E847525_B5B0_4151_9870_F971B482221C_.wvu.PrintTitles" localSheetId="26" hidden="1">'28_ развитие образования'!$8:$11</definedName>
    <definedName name="Z_5E847525_B5B0_4151_9870_F971B482221C_.wvu.PrintTitles" localSheetId="27" hidden="1">'29_ФСГС'!$8:$10</definedName>
    <definedName name="Z_5E847525_B5B0_4151_9870_F971B482221C_.wvu.PrintTitles" localSheetId="28" hidden="1">'33_ доступ.маломобильных'!$8:$11</definedName>
    <definedName name="Z_5E847525_B5B0_4151_9870_F971B482221C_.wvu.PrintTitles" localSheetId="29" hidden="1">лист!$8:$11</definedName>
    <definedName name="Z_5E847525_B5B0_4151_9870_F971B482221C_.wvu.PrintTitles" localSheetId="30" hidden="1">'лист (2)'!$8:$11</definedName>
    <definedName name="Z_5E847525_B5B0_4151_9870_F971B482221C_.wvu.PrintTitles" localSheetId="1" hidden="1">'непрограммные расходы'!$8:$11</definedName>
    <definedName name="Z_5E847525_B5B0_4151_9870_F971B482221C_.wvu.PrintTitles" localSheetId="0" hidden="1">СВОД!$7:$10</definedName>
    <definedName name="Z_5E847525_B5B0_4151_9870_F971B482221C_.wvu.Rows" localSheetId="3" hidden="1">'02_летний отдых'!$19:$23</definedName>
    <definedName name="Z_5E847525_B5B0_4151_9870_F971B482221C_.wvu.Rows" localSheetId="5" hidden="1">'04_ развитие сферы культуры'!$18:$18</definedName>
    <definedName name="Z_5E847525_B5B0_4151_9870_F971B482221C_.wvu.Rows" localSheetId="8" hidden="1">'07_равитие жил.сферы'!$13:$37</definedName>
    <definedName name="Z_5E847525_B5B0_4151_9870_F971B482221C_.wvu.Rows" localSheetId="9" hidden="1">'08_ профилактикаТиЭ'!$16:$19,'08_ профилактикаТиЭ'!$34:$37</definedName>
    <definedName name="Z_5E847525_B5B0_4151_9870_F971B482221C_.wvu.Rows" localSheetId="17" hidden="1">'16_ обеспеч. жильем молодых '!$13:$37</definedName>
    <definedName name="Z_6D6F00BA_5393_49B6_B3BC_C80F08FA7E30_.wvu.PrintTitles" localSheetId="2" hidden="1">'01_молодежная политика'!$8:$11</definedName>
    <definedName name="Z_6D6F00BA_5393_49B6_B3BC_C80F08FA7E30_.wvu.PrintTitles" localSheetId="3" hidden="1">'02_летний отдых'!$8:$11</definedName>
    <definedName name="Z_6D6F00BA_5393_49B6_B3BC_C80F08FA7E30_.wvu.PrintTitles" localSheetId="4" hidden="1">'03_УМТО'!$8:$11</definedName>
    <definedName name="Z_6D6F00BA_5393_49B6_B3BC_C80F08FA7E30_.wvu.PrintTitles" localSheetId="5" hidden="1">'04_ развитие сферы культуры'!$8:$11</definedName>
    <definedName name="Z_6D6F00BA_5393_49B6_B3BC_C80F08FA7E30_.wvu.PrintTitles" localSheetId="6" hidden="1">'05_ развитие муниц.службы'!$8:$11</definedName>
    <definedName name="Z_6D6F00BA_5393_49B6_B3BC_C80F08FA7E30_.wvu.PrintTitles" localSheetId="7" hidden="1">'06_ охрана труда'!$8:$11</definedName>
    <definedName name="Z_6D6F00BA_5393_49B6_B3BC_C80F08FA7E30_.wvu.PrintTitles" localSheetId="8" hidden="1">'07_равитие жил.сферы'!$8:$11</definedName>
    <definedName name="Z_6D6F00BA_5393_49B6_B3BC_C80F08FA7E30_.wvu.PrintTitles" localSheetId="9" hidden="1">'08_ профилактикаТиЭ'!$8:$11</definedName>
    <definedName name="Z_6D6F00BA_5393_49B6_B3BC_C80F08FA7E30_.wvu.PrintTitles" localSheetId="10" hidden="1">'09_ поддержка СМП'!$8:$11</definedName>
    <definedName name="Z_6D6F00BA_5393_49B6_B3BC_C80F08FA7E30_.wvu.PrintTitles" localSheetId="11" hidden="1">'10_градостроительная деят'!$8:$11</definedName>
    <definedName name="Z_6D6F00BA_5393_49B6_B3BC_C80F08FA7E30_.wvu.PrintTitles" localSheetId="12" hidden="1">'11_проводействие коррупц'!$8:$11</definedName>
    <definedName name="Z_6D6F00BA_5393_49B6_B3BC_C80F08FA7E30_.wvu.PrintTitles" localSheetId="13" hidden="1">'12_информирование'!$8:$11</definedName>
    <definedName name="Z_6D6F00BA_5393_49B6_B3BC_C80F08FA7E30_.wvu.PrintTitles" localSheetId="14" hidden="1">'13_ управление имуществом'!$8:$11</definedName>
    <definedName name="Z_6D6F00BA_5393_49B6_B3BC_C80F08FA7E30_.wvu.PrintTitles" localSheetId="15" hidden="1">'14_ управление муниц.финансами'!$8:$11</definedName>
    <definedName name="Z_6D6F00BA_5393_49B6_B3BC_C80F08FA7E30_.wvu.PrintTitles" localSheetId="16" hidden="1">'15_транспортная'!$8:$11</definedName>
    <definedName name="Z_6D6F00BA_5393_49B6_B3BC_C80F08FA7E30_.wvu.PrintTitles" localSheetId="17" hidden="1">'16_ обеспеч. жильем молодых '!$8:$11</definedName>
    <definedName name="Z_6D6F00BA_5393_49B6_B3BC_C80F08FA7E30_.wvu.PrintTitles" localSheetId="18" hidden="1">'17_ развитие физ.и спорта'!$8:$11</definedName>
    <definedName name="Z_6D6F00BA_5393_49B6_B3BC_C80F08FA7E30_.wvu.PrintTitles" localSheetId="19" hidden="1">'18_ отд.полн.в сфере опеки'!$8:$11</definedName>
    <definedName name="Z_6D6F00BA_5393_49B6_B3BC_C80F08FA7E30_.wvu.PrintTitles" localSheetId="20" hidden="1">'19_поддержка СОНО'!$8:$11</definedName>
    <definedName name="Z_6D6F00BA_5393_49B6_B3BC_C80F08FA7E30_.wvu.PrintTitles" localSheetId="21" hidden="1">'20_ развитие ЖКХ'!$8:$11</definedName>
    <definedName name="Z_6D6F00BA_5393_49B6_B3BC_C80F08FA7E30_.wvu.PrintTitles" localSheetId="22" hidden="1">'22_ ОБЖ'!$8:$11</definedName>
    <definedName name="Z_6D6F00BA_5393_49B6_B3BC_C80F08FA7E30_.wvu.PrintTitles" localSheetId="23" hidden="1">'23_ликвид. приспособ.строений'!$8:$11</definedName>
    <definedName name="Z_6D6F00BA_5393_49B6_B3BC_C80F08FA7E30_.wvu.PrintTitles" localSheetId="24" hidden="1">'24_ эколог.без-ть)'!$8:$11</definedName>
    <definedName name="Z_6D6F00BA_5393_49B6_B3BC_C80F08FA7E30_.wvu.PrintTitles" localSheetId="25" hidden="1">'27_ информац.общество'!$8:$11</definedName>
    <definedName name="Z_6D6F00BA_5393_49B6_B3BC_C80F08FA7E30_.wvu.PrintTitles" localSheetId="26" hidden="1">'28_ развитие образования'!$8:$11</definedName>
    <definedName name="Z_6D6F00BA_5393_49B6_B3BC_C80F08FA7E30_.wvu.PrintTitles" localSheetId="27" hidden="1">'29_ФСГС'!$8:$10</definedName>
    <definedName name="Z_6D6F00BA_5393_49B6_B3BC_C80F08FA7E30_.wvu.PrintTitles" localSheetId="28" hidden="1">'33_ доступ.маломобильных'!$8:$11</definedName>
    <definedName name="Z_6D6F00BA_5393_49B6_B3BC_C80F08FA7E30_.wvu.PrintTitles" localSheetId="29" hidden="1">лист!$8:$11</definedName>
    <definedName name="Z_6D6F00BA_5393_49B6_B3BC_C80F08FA7E30_.wvu.PrintTitles" localSheetId="30" hidden="1">'лист (2)'!$8:$11</definedName>
    <definedName name="Z_6D6F00BA_5393_49B6_B3BC_C80F08FA7E30_.wvu.PrintTitles" localSheetId="1" hidden="1">'непрограммные расходы'!$8:$11</definedName>
    <definedName name="Z_6D6F00BA_5393_49B6_B3BC_C80F08FA7E30_.wvu.Rows" localSheetId="3" hidden="1">'02_летний отдых'!$19:$23</definedName>
    <definedName name="Z_6D6F00BA_5393_49B6_B3BC_C80F08FA7E30_.wvu.Rows" localSheetId="5" hidden="1">'04_ развитие сферы культуры'!$18:$18</definedName>
    <definedName name="Z_6D6F00BA_5393_49B6_B3BC_C80F08FA7E30_.wvu.Rows" localSheetId="8" hidden="1">'07_равитие жил.сферы'!$13:$37</definedName>
    <definedName name="Z_6D6F00BA_5393_49B6_B3BC_C80F08FA7E30_.wvu.Rows" localSheetId="9" hidden="1">'08_ профилактикаТиЭ'!$16:$19,'08_ профилактикаТиЭ'!$34:$37</definedName>
    <definedName name="Z_6D6F00BA_5393_49B6_B3BC_C80F08FA7E30_.wvu.Rows" localSheetId="17" hidden="1">'16_ обеспеч. жильем молодых '!$13:$37</definedName>
    <definedName name="Z_76DE8D8D_0AE0_44F4_9134_4F50A4AF1423_.wvu.PrintTitles" localSheetId="2" hidden="1">'01_молодежная политика'!$8:$11</definedName>
    <definedName name="Z_76DE8D8D_0AE0_44F4_9134_4F50A4AF1423_.wvu.PrintTitles" localSheetId="3" hidden="1">'02_летний отдых'!$8:$11</definedName>
    <definedName name="Z_76DE8D8D_0AE0_44F4_9134_4F50A4AF1423_.wvu.PrintTitles" localSheetId="4" hidden="1">'03_УМТО'!$8:$11</definedName>
    <definedName name="Z_76DE8D8D_0AE0_44F4_9134_4F50A4AF1423_.wvu.PrintTitles" localSheetId="5" hidden="1">'04_ развитие сферы культуры'!$8:$11</definedName>
    <definedName name="Z_76DE8D8D_0AE0_44F4_9134_4F50A4AF1423_.wvu.PrintTitles" localSheetId="6" hidden="1">'05_ развитие муниц.службы'!$8:$11</definedName>
    <definedName name="Z_76DE8D8D_0AE0_44F4_9134_4F50A4AF1423_.wvu.PrintTitles" localSheetId="7" hidden="1">'06_ охрана труда'!$8:$11</definedName>
    <definedName name="Z_76DE8D8D_0AE0_44F4_9134_4F50A4AF1423_.wvu.PrintTitles" localSheetId="8" hidden="1">'07_равитие жил.сферы'!$8:$11</definedName>
    <definedName name="Z_76DE8D8D_0AE0_44F4_9134_4F50A4AF1423_.wvu.PrintTitles" localSheetId="9" hidden="1">'08_ профилактикаТиЭ'!$8:$11</definedName>
    <definedName name="Z_76DE8D8D_0AE0_44F4_9134_4F50A4AF1423_.wvu.PrintTitles" localSheetId="10" hidden="1">'09_ поддержка СМП'!$8:$11</definedName>
    <definedName name="Z_76DE8D8D_0AE0_44F4_9134_4F50A4AF1423_.wvu.PrintTitles" localSheetId="11" hidden="1">'10_градостроительная деят'!$8:$11</definedName>
    <definedName name="Z_76DE8D8D_0AE0_44F4_9134_4F50A4AF1423_.wvu.PrintTitles" localSheetId="12" hidden="1">'11_проводействие коррупц'!$8:$11</definedName>
    <definedName name="Z_76DE8D8D_0AE0_44F4_9134_4F50A4AF1423_.wvu.PrintTitles" localSheetId="13" hidden="1">'12_информирование'!$8:$11</definedName>
    <definedName name="Z_76DE8D8D_0AE0_44F4_9134_4F50A4AF1423_.wvu.PrintTitles" localSheetId="14" hidden="1">'13_ управление имуществом'!$8:$11</definedName>
    <definedName name="Z_76DE8D8D_0AE0_44F4_9134_4F50A4AF1423_.wvu.PrintTitles" localSheetId="15" hidden="1">'14_ управление муниц.финансами'!$8:$11</definedName>
    <definedName name="Z_76DE8D8D_0AE0_44F4_9134_4F50A4AF1423_.wvu.PrintTitles" localSheetId="16" hidden="1">'15_транспортная'!$8:$11</definedName>
    <definedName name="Z_76DE8D8D_0AE0_44F4_9134_4F50A4AF1423_.wvu.PrintTitles" localSheetId="17" hidden="1">'16_ обеспеч. жильем молодых '!$8:$11</definedName>
    <definedName name="Z_76DE8D8D_0AE0_44F4_9134_4F50A4AF1423_.wvu.PrintTitles" localSheetId="18" hidden="1">'17_ развитие физ.и спорта'!$8:$11</definedName>
    <definedName name="Z_76DE8D8D_0AE0_44F4_9134_4F50A4AF1423_.wvu.PrintTitles" localSheetId="19" hidden="1">'18_ отд.полн.в сфере опеки'!$8:$11</definedName>
    <definedName name="Z_76DE8D8D_0AE0_44F4_9134_4F50A4AF1423_.wvu.PrintTitles" localSheetId="20" hidden="1">'19_поддержка СОНО'!$8:$11</definedName>
    <definedName name="Z_76DE8D8D_0AE0_44F4_9134_4F50A4AF1423_.wvu.PrintTitles" localSheetId="21" hidden="1">'20_ развитие ЖКХ'!$8:$11</definedName>
    <definedName name="Z_76DE8D8D_0AE0_44F4_9134_4F50A4AF1423_.wvu.PrintTitles" localSheetId="22" hidden="1">'22_ ОБЖ'!$8:$11</definedName>
    <definedName name="Z_76DE8D8D_0AE0_44F4_9134_4F50A4AF1423_.wvu.PrintTitles" localSheetId="23" hidden="1">'23_ликвид. приспособ.строений'!$8:$11</definedName>
    <definedName name="Z_76DE8D8D_0AE0_44F4_9134_4F50A4AF1423_.wvu.PrintTitles" localSheetId="24" hidden="1">'24_ эколог.без-ть)'!$8:$11</definedName>
    <definedName name="Z_76DE8D8D_0AE0_44F4_9134_4F50A4AF1423_.wvu.PrintTitles" localSheetId="25" hidden="1">'27_ информац.общество'!$8:$11</definedName>
    <definedName name="Z_76DE8D8D_0AE0_44F4_9134_4F50A4AF1423_.wvu.PrintTitles" localSheetId="26" hidden="1">'28_ развитие образования'!$8:$11</definedName>
    <definedName name="Z_76DE8D8D_0AE0_44F4_9134_4F50A4AF1423_.wvu.PrintTitles" localSheetId="27" hidden="1">'29_ФСГС'!$8:$10</definedName>
    <definedName name="Z_76DE8D8D_0AE0_44F4_9134_4F50A4AF1423_.wvu.PrintTitles" localSheetId="28" hidden="1">'33_ доступ.маломобильных'!$8:$11</definedName>
    <definedName name="Z_76DE8D8D_0AE0_44F4_9134_4F50A4AF1423_.wvu.PrintTitles" localSheetId="29" hidden="1">лист!$8:$11</definedName>
    <definedName name="Z_76DE8D8D_0AE0_44F4_9134_4F50A4AF1423_.wvu.PrintTitles" localSheetId="30" hidden="1">'лист (2)'!$8:$11</definedName>
    <definedName name="Z_76DE8D8D_0AE0_44F4_9134_4F50A4AF1423_.wvu.PrintTitles" localSheetId="1" hidden="1">'непрограммные расходы'!$8:$11</definedName>
    <definedName name="Z_76DE8D8D_0AE0_44F4_9134_4F50A4AF1423_.wvu.PrintTitles" localSheetId="0" hidden="1">СВОД!$7:$10</definedName>
    <definedName name="Z_76DE8D8D_0AE0_44F4_9134_4F50A4AF1423_.wvu.Rows" localSheetId="2" hidden="1">'01_молодежная политика'!$26:$26</definedName>
    <definedName name="Z_76DE8D8D_0AE0_44F4_9134_4F50A4AF1423_.wvu.Rows" localSheetId="3" hidden="1">'02_летний отдых'!$19:$23</definedName>
    <definedName name="Z_76DE8D8D_0AE0_44F4_9134_4F50A4AF1423_.wvu.Rows" localSheetId="4" hidden="1">'03_УМТО'!$16:$17</definedName>
    <definedName name="Z_76DE8D8D_0AE0_44F4_9134_4F50A4AF1423_.wvu.Rows" localSheetId="5" hidden="1">'04_ развитие сферы культуры'!$23:$33</definedName>
    <definedName name="Z_76DE8D8D_0AE0_44F4_9134_4F50A4AF1423_.wvu.Rows" localSheetId="6" hidden="1">'05_ развитие муниц.службы'!#REF!</definedName>
    <definedName name="Z_76DE8D8D_0AE0_44F4_9134_4F50A4AF1423_.wvu.Rows" localSheetId="7" hidden="1">'06_ охрана труда'!#REF!</definedName>
    <definedName name="Z_76DE8D8D_0AE0_44F4_9134_4F50A4AF1423_.wvu.Rows" localSheetId="8" hidden="1">'07_равитие жил.сферы'!$23:$37</definedName>
    <definedName name="Z_76DE8D8D_0AE0_44F4_9134_4F50A4AF1423_.wvu.Rows" localSheetId="9" hidden="1">'08_ профилактикаТиЭ'!$24:$38</definedName>
    <definedName name="Z_76DE8D8D_0AE0_44F4_9134_4F50A4AF1423_.wvu.Rows" localSheetId="10" hidden="1">'09_ поддержка СМП'!$12:$19</definedName>
    <definedName name="Z_76DE8D8D_0AE0_44F4_9134_4F50A4AF1423_.wvu.Rows" localSheetId="11" hidden="1">'10_градостроительная деят'!$17:$19</definedName>
    <definedName name="Z_76DE8D8D_0AE0_44F4_9134_4F50A4AF1423_.wvu.Rows" localSheetId="12" hidden="1">'11_проводействие коррупц'!#REF!</definedName>
    <definedName name="Z_76DE8D8D_0AE0_44F4_9134_4F50A4AF1423_.wvu.Rows" localSheetId="13" hidden="1">'12_информирование'!#REF!</definedName>
    <definedName name="Z_76DE8D8D_0AE0_44F4_9134_4F50A4AF1423_.wvu.Rows" localSheetId="14" hidden="1">'13_ управление имуществом'!$24:$30</definedName>
    <definedName name="Z_76DE8D8D_0AE0_44F4_9134_4F50A4AF1423_.wvu.Rows" localSheetId="15" hidden="1">'14_ управление муниц.финансами'!$22:$25</definedName>
    <definedName name="Z_76DE8D8D_0AE0_44F4_9134_4F50A4AF1423_.wvu.Rows" localSheetId="16" hidden="1">'15_транспортная'!#REF!</definedName>
    <definedName name="Z_76DE8D8D_0AE0_44F4_9134_4F50A4AF1423_.wvu.Rows" localSheetId="17" hidden="1">'16_ обеспеч. жильем молодых '!$23:$37</definedName>
    <definedName name="Z_76DE8D8D_0AE0_44F4_9134_4F50A4AF1423_.wvu.Rows" localSheetId="18" hidden="1">'17_ развитие физ.и спорта'!#REF!</definedName>
    <definedName name="Z_76DE8D8D_0AE0_44F4_9134_4F50A4AF1423_.wvu.Rows" localSheetId="19" hidden="1">'18_ отд.полн.в сфере опеки'!#REF!</definedName>
    <definedName name="Z_76DE8D8D_0AE0_44F4_9134_4F50A4AF1423_.wvu.Rows" localSheetId="20" hidden="1">'19_поддержка СОНО'!#REF!</definedName>
    <definedName name="Z_76DE8D8D_0AE0_44F4_9134_4F50A4AF1423_.wvu.Rows" localSheetId="21" hidden="1">'20_ развитие ЖКХ'!$24:$32</definedName>
    <definedName name="Z_76DE8D8D_0AE0_44F4_9134_4F50A4AF1423_.wvu.Rows" localSheetId="22" hidden="1">'22_ ОБЖ'!#REF!</definedName>
    <definedName name="Z_76DE8D8D_0AE0_44F4_9134_4F50A4AF1423_.wvu.Rows" localSheetId="23" hidden="1">'23_ликвид. приспособ.строений'!$23:$37</definedName>
    <definedName name="Z_76DE8D8D_0AE0_44F4_9134_4F50A4AF1423_.wvu.Rows" localSheetId="24" hidden="1">'24_ эколог.без-ть)'!$16:$21</definedName>
    <definedName name="Z_76DE8D8D_0AE0_44F4_9134_4F50A4AF1423_.wvu.Rows" localSheetId="25" hidden="1">'27_ информац.общество'!$18:$28</definedName>
    <definedName name="Z_76DE8D8D_0AE0_44F4_9134_4F50A4AF1423_.wvu.Rows" localSheetId="26" hidden="1">'28_ развитие образования'!#REF!</definedName>
    <definedName name="Z_76DE8D8D_0AE0_44F4_9134_4F50A4AF1423_.wvu.Rows" localSheetId="27" hidden="1">'29_ФСГС'!$11:$14</definedName>
    <definedName name="Z_76DE8D8D_0AE0_44F4_9134_4F50A4AF1423_.wvu.Rows" localSheetId="28" hidden="1">'33_ доступ.маломобильных'!#REF!</definedName>
    <definedName name="Z_76DE8D8D_0AE0_44F4_9134_4F50A4AF1423_.wvu.Rows" localSheetId="29" hidden="1">лист!$23:$37</definedName>
    <definedName name="Z_76DE8D8D_0AE0_44F4_9134_4F50A4AF1423_.wvu.Rows" localSheetId="30" hidden="1">'лист (2)'!$23:$37</definedName>
    <definedName name="Z_76DE8D8D_0AE0_44F4_9134_4F50A4AF1423_.wvu.Rows" localSheetId="1" hidden="1">'непрограммные расходы'!$14:$15</definedName>
    <definedName name="Z_802963C4_0B26_4FAC_BA6A_4A8F0B5EEF6E_.wvu.PrintTitles" localSheetId="2" hidden="1">'01_молодежная политика'!$8:$11</definedName>
    <definedName name="Z_802963C4_0B26_4FAC_BA6A_4A8F0B5EEF6E_.wvu.PrintTitles" localSheetId="3" hidden="1">'02_летний отдых'!$8:$11</definedName>
    <definedName name="Z_802963C4_0B26_4FAC_BA6A_4A8F0B5EEF6E_.wvu.PrintTitles" localSheetId="4" hidden="1">'03_УМТО'!$8:$11</definedName>
    <definedName name="Z_802963C4_0B26_4FAC_BA6A_4A8F0B5EEF6E_.wvu.PrintTitles" localSheetId="5" hidden="1">'04_ развитие сферы культуры'!$8:$11</definedName>
    <definedName name="Z_802963C4_0B26_4FAC_BA6A_4A8F0B5EEF6E_.wvu.PrintTitles" localSheetId="6" hidden="1">'05_ развитие муниц.службы'!$8:$11</definedName>
    <definedName name="Z_802963C4_0B26_4FAC_BA6A_4A8F0B5EEF6E_.wvu.PrintTitles" localSheetId="7" hidden="1">'06_ охрана труда'!$8:$11</definedName>
    <definedName name="Z_802963C4_0B26_4FAC_BA6A_4A8F0B5EEF6E_.wvu.PrintTitles" localSheetId="8" hidden="1">'07_равитие жил.сферы'!$8:$11</definedName>
    <definedName name="Z_802963C4_0B26_4FAC_BA6A_4A8F0B5EEF6E_.wvu.PrintTitles" localSheetId="9" hidden="1">'08_ профилактикаТиЭ'!$8:$11</definedName>
    <definedName name="Z_802963C4_0B26_4FAC_BA6A_4A8F0B5EEF6E_.wvu.PrintTitles" localSheetId="10" hidden="1">'09_ поддержка СМП'!$8:$11</definedName>
    <definedName name="Z_802963C4_0B26_4FAC_BA6A_4A8F0B5EEF6E_.wvu.PrintTitles" localSheetId="11" hidden="1">'10_градостроительная деят'!$8:$11</definedName>
    <definedName name="Z_802963C4_0B26_4FAC_BA6A_4A8F0B5EEF6E_.wvu.PrintTitles" localSheetId="12" hidden="1">'11_проводействие коррупц'!$8:$11</definedName>
    <definedName name="Z_802963C4_0B26_4FAC_BA6A_4A8F0B5EEF6E_.wvu.PrintTitles" localSheetId="13" hidden="1">'12_информирование'!$8:$11</definedName>
    <definedName name="Z_802963C4_0B26_4FAC_BA6A_4A8F0B5EEF6E_.wvu.PrintTitles" localSheetId="14" hidden="1">'13_ управление имуществом'!$8:$11</definedName>
    <definedName name="Z_802963C4_0B26_4FAC_BA6A_4A8F0B5EEF6E_.wvu.PrintTitles" localSheetId="15" hidden="1">'14_ управление муниц.финансами'!$8:$11</definedName>
    <definedName name="Z_802963C4_0B26_4FAC_BA6A_4A8F0B5EEF6E_.wvu.PrintTitles" localSheetId="16" hidden="1">'15_транспортная'!$8:$11</definedName>
    <definedName name="Z_802963C4_0B26_4FAC_BA6A_4A8F0B5EEF6E_.wvu.PrintTitles" localSheetId="17" hidden="1">'16_ обеспеч. жильем молодых '!$8:$11</definedName>
    <definedName name="Z_802963C4_0B26_4FAC_BA6A_4A8F0B5EEF6E_.wvu.PrintTitles" localSheetId="18" hidden="1">'17_ развитие физ.и спорта'!$8:$11</definedName>
    <definedName name="Z_802963C4_0B26_4FAC_BA6A_4A8F0B5EEF6E_.wvu.PrintTitles" localSheetId="19" hidden="1">'18_ отд.полн.в сфере опеки'!$8:$11</definedName>
    <definedName name="Z_802963C4_0B26_4FAC_BA6A_4A8F0B5EEF6E_.wvu.PrintTitles" localSheetId="20" hidden="1">'19_поддержка СОНО'!$8:$11</definedName>
    <definedName name="Z_802963C4_0B26_4FAC_BA6A_4A8F0B5EEF6E_.wvu.PrintTitles" localSheetId="21" hidden="1">'20_ развитие ЖКХ'!$8:$11</definedName>
    <definedName name="Z_802963C4_0B26_4FAC_BA6A_4A8F0B5EEF6E_.wvu.PrintTitles" localSheetId="22" hidden="1">'22_ ОБЖ'!$8:$11</definedName>
    <definedName name="Z_802963C4_0B26_4FAC_BA6A_4A8F0B5EEF6E_.wvu.PrintTitles" localSheetId="23" hidden="1">'23_ликвид. приспособ.строений'!$8:$11</definedName>
    <definedName name="Z_802963C4_0B26_4FAC_BA6A_4A8F0B5EEF6E_.wvu.PrintTitles" localSheetId="24" hidden="1">'24_ эколог.без-ть)'!$8:$11</definedName>
    <definedName name="Z_802963C4_0B26_4FAC_BA6A_4A8F0B5EEF6E_.wvu.PrintTitles" localSheetId="25" hidden="1">'27_ информац.общество'!$8:$11</definedName>
    <definedName name="Z_802963C4_0B26_4FAC_BA6A_4A8F0B5EEF6E_.wvu.PrintTitles" localSheetId="26" hidden="1">'28_ развитие образования'!$8:$11</definedName>
    <definedName name="Z_802963C4_0B26_4FAC_BA6A_4A8F0B5EEF6E_.wvu.PrintTitles" localSheetId="27" hidden="1">'29_ФСГС'!$8:$10</definedName>
    <definedName name="Z_802963C4_0B26_4FAC_BA6A_4A8F0B5EEF6E_.wvu.PrintTitles" localSheetId="28" hidden="1">'33_ доступ.маломобильных'!$8:$11</definedName>
    <definedName name="Z_802963C4_0B26_4FAC_BA6A_4A8F0B5EEF6E_.wvu.PrintTitles" localSheetId="29" hidden="1">лист!$8:$11</definedName>
    <definedName name="Z_802963C4_0B26_4FAC_BA6A_4A8F0B5EEF6E_.wvu.PrintTitles" localSheetId="30" hidden="1">'лист (2)'!$8:$11</definedName>
    <definedName name="Z_802963C4_0B26_4FAC_BA6A_4A8F0B5EEF6E_.wvu.PrintTitles" localSheetId="1" hidden="1">'непрограммные расходы'!$8:$11</definedName>
    <definedName name="Z_802963C4_0B26_4FAC_BA6A_4A8F0B5EEF6E_.wvu.PrintTitles" localSheetId="0" hidden="1">СВОД!$7:$10</definedName>
    <definedName name="Z_802963C4_0B26_4FAC_BA6A_4A8F0B5EEF6E_.wvu.Rows" localSheetId="2" hidden="1">'01_молодежная политика'!$26:$26</definedName>
    <definedName name="Z_802963C4_0B26_4FAC_BA6A_4A8F0B5EEF6E_.wvu.Rows" localSheetId="3" hidden="1">'02_летний отдых'!$19:$23</definedName>
    <definedName name="Z_802963C4_0B26_4FAC_BA6A_4A8F0B5EEF6E_.wvu.Rows" localSheetId="4" hidden="1">'03_УМТО'!$16:$17</definedName>
    <definedName name="Z_802963C4_0B26_4FAC_BA6A_4A8F0B5EEF6E_.wvu.Rows" localSheetId="5" hidden="1">'04_ развитие сферы культуры'!$23:$33</definedName>
    <definedName name="Z_802963C4_0B26_4FAC_BA6A_4A8F0B5EEF6E_.wvu.Rows" localSheetId="6" hidden="1">'05_ развитие муниц.службы'!#REF!</definedName>
    <definedName name="Z_802963C4_0B26_4FAC_BA6A_4A8F0B5EEF6E_.wvu.Rows" localSheetId="7" hidden="1">'06_ охрана труда'!#REF!</definedName>
    <definedName name="Z_802963C4_0B26_4FAC_BA6A_4A8F0B5EEF6E_.wvu.Rows" localSheetId="8" hidden="1">'07_равитие жил.сферы'!$23:$37</definedName>
    <definedName name="Z_802963C4_0B26_4FAC_BA6A_4A8F0B5EEF6E_.wvu.Rows" localSheetId="9" hidden="1">'08_ профилактикаТиЭ'!$24:$38</definedName>
    <definedName name="Z_802963C4_0B26_4FAC_BA6A_4A8F0B5EEF6E_.wvu.Rows" localSheetId="10" hidden="1">'09_ поддержка СМП'!$12:$19</definedName>
    <definedName name="Z_802963C4_0B26_4FAC_BA6A_4A8F0B5EEF6E_.wvu.Rows" localSheetId="11" hidden="1">'10_градостроительная деят'!$17:$19</definedName>
    <definedName name="Z_802963C4_0B26_4FAC_BA6A_4A8F0B5EEF6E_.wvu.Rows" localSheetId="12" hidden="1">'11_проводействие коррупц'!#REF!</definedName>
    <definedName name="Z_802963C4_0B26_4FAC_BA6A_4A8F0B5EEF6E_.wvu.Rows" localSheetId="13" hidden="1">'12_информирование'!#REF!</definedName>
    <definedName name="Z_802963C4_0B26_4FAC_BA6A_4A8F0B5EEF6E_.wvu.Rows" localSheetId="14" hidden="1">'13_ управление имуществом'!$24:$30</definedName>
    <definedName name="Z_802963C4_0B26_4FAC_BA6A_4A8F0B5EEF6E_.wvu.Rows" localSheetId="15" hidden="1">'14_ управление муниц.финансами'!$22:$25</definedName>
    <definedName name="Z_802963C4_0B26_4FAC_BA6A_4A8F0B5EEF6E_.wvu.Rows" localSheetId="16" hidden="1">'15_транспортная'!#REF!</definedName>
    <definedName name="Z_802963C4_0B26_4FAC_BA6A_4A8F0B5EEF6E_.wvu.Rows" localSheetId="17" hidden="1">'16_ обеспеч. жильем молодых '!$23:$37</definedName>
    <definedName name="Z_802963C4_0B26_4FAC_BA6A_4A8F0B5EEF6E_.wvu.Rows" localSheetId="18" hidden="1">'17_ развитие физ.и спорта'!#REF!</definedName>
    <definedName name="Z_802963C4_0B26_4FAC_BA6A_4A8F0B5EEF6E_.wvu.Rows" localSheetId="19" hidden="1">'18_ отд.полн.в сфере опеки'!#REF!</definedName>
    <definedName name="Z_802963C4_0B26_4FAC_BA6A_4A8F0B5EEF6E_.wvu.Rows" localSheetId="20" hidden="1">'19_поддержка СОНО'!#REF!</definedName>
    <definedName name="Z_802963C4_0B26_4FAC_BA6A_4A8F0B5EEF6E_.wvu.Rows" localSheetId="21" hidden="1">'20_ развитие ЖКХ'!$24:$32</definedName>
    <definedName name="Z_802963C4_0B26_4FAC_BA6A_4A8F0B5EEF6E_.wvu.Rows" localSheetId="22" hidden="1">'22_ ОБЖ'!#REF!</definedName>
    <definedName name="Z_802963C4_0B26_4FAC_BA6A_4A8F0B5EEF6E_.wvu.Rows" localSheetId="23" hidden="1">'23_ликвид. приспособ.строений'!$23:$37</definedName>
    <definedName name="Z_802963C4_0B26_4FAC_BA6A_4A8F0B5EEF6E_.wvu.Rows" localSheetId="24" hidden="1">'24_ эколог.без-ть)'!$16:$21</definedName>
    <definedName name="Z_802963C4_0B26_4FAC_BA6A_4A8F0B5EEF6E_.wvu.Rows" localSheetId="25" hidden="1">'27_ информац.общество'!$18:$28</definedName>
    <definedName name="Z_802963C4_0B26_4FAC_BA6A_4A8F0B5EEF6E_.wvu.Rows" localSheetId="26" hidden="1">'28_ развитие образования'!#REF!</definedName>
    <definedName name="Z_802963C4_0B26_4FAC_BA6A_4A8F0B5EEF6E_.wvu.Rows" localSheetId="27" hidden="1">'29_ФСГС'!$11:$14</definedName>
    <definedName name="Z_802963C4_0B26_4FAC_BA6A_4A8F0B5EEF6E_.wvu.Rows" localSheetId="28" hidden="1">'33_ доступ.маломобильных'!#REF!</definedName>
    <definedName name="Z_802963C4_0B26_4FAC_BA6A_4A8F0B5EEF6E_.wvu.Rows" localSheetId="29" hidden="1">лист!$23:$37</definedName>
    <definedName name="Z_802963C4_0B26_4FAC_BA6A_4A8F0B5EEF6E_.wvu.Rows" localSheetId="30" hidden="1">'лист (2)'!$23:$37</definedName>
    <definedName name="Z_802963C4_0B26_4FAC_BA6A_4A8F0B5EEF6E_.wvu.Rows" localSheetId="1" hidden="1">'непрограммные расходы'!$14:$15</definedName>
    <definedName name="Z_80D9E77B_0FDF_47F7_9E67_DE30E0CF7473_.wvu.PrintTitles" localSheetId="2" hidden="1">'01_молодежная политика'!$8:$11</definedName>
    <definedName name="Z_80D9E77B_0FDF_47F7_9E67_DE30E0CF7473_.wvu.PrintTitles" localSheetId="3" hidden="1">'02_летний отдых'!$8:$11</definedName>
    <definedName name="Z_80D9E77B_0FDF_47F7_9E67_DE30E0CF7473_.wvu.PrintTitles" localSheetId="4" hidden="1">'03_УМТО'!$8:$11</definedName>
    <definedName name="Z_80D9E77B_0FDF_47F7_9E67_DE30E0CF7473_.wvu.PrintTitles" localSheetId="5" hidden="1">'04_ развитие сферы культуры'!$8:$11</definedName>
    <definedName name="Z_80D9E77B_0FDF_47F7_9E67_DE30E0CF7473_.wvu.PrintTitles" localSheetId="6" hidden="1">'05_ развитие муниц.службы'!$8:$11</definedName>
    <definedName name="Z_80D9E77B_0FDF_47F7_9E67_DE30E0CF7473_.wvu.PrintTitles" localSheetId="7" hidden="1">'06_ охрана труда'!$8:$11</definedName>
    <definedName name="Z_80D9E77B_0FDF_47F7_9E67_DE30E0CF7473_.wvu.PrintTitles" localSheetId="8" hidden="1">'07_равитие жил.сферы'!$8:$11</definedName>
    <definedName name="Z_80D9E77B_0FDF_47F7_9E67_DE30E0CF7473_.wvu.PrintTitles" localSheetId="9" hidden="1">'08_ профилактикаТиЭ'!$8:$11</definedName>
    <definedName name="Z_80D9E77B_0FDF_47F7_9E67_DE30E0CF7473_.wvu.PrintTitles" localSheetId="10" hidden="1">'09_ поддержка СМП'!$8:$11</definedName>
    <definedName name="Z_80D9E77B_0FDF_47F7_9E67_DE30E0CF7473_.wvu.PrintTitles" localSheetId="11" hidden="1">'10_градостроительная деят'!$8:$11</definedName>
    <definedName name="Z_80D9E77B_0FDF_47F7_9E67_DE30E0CF7473_.wvu.PrintTitles" localSheetId="12" hidden="1">'11_проводействие коррупц'!$8:$11</definedName>
    <definedName name="Z_80D9E77B_0FDF_47F7_9E67_DE30E0CF7473_.wvu.PrintTitles" localSheetId="13" hidden="1">'12_информирование'!$8:$11</definedName>
    <definedName name="Z_80D9E77B_0FDF_47F7_9E67_DE30E0CF7473_.wvu.PrintTitles" localSheetId="14" hidden="1">'13_ управление имуществом'!$8:$11</definedName>
    <definedName name="Z_80D9E77B_0FDF_47F7_9E67_DE30E0CF7473_.wvu.PrintTitles" localSheetId="15" hidden="1">'14_ управление муниц.финансами'!$8:$11</definedName>
    <definedName name="Z_80D9E77B_0FDF_47F7_9E67_DE30E0CF7473_.wvu.PrintTitles" localSheetId="16" hidden="1">'15_транспортная'!$8:$11</definedName>
    <definedName name="Z_80D9E77B_0FDF_47F7_9E67_DE30E0CF7473_.wvu.PrintTitles" localSheetId="17" hidden="1">'16_ обеспеч. жильем молодых '!$8:$11</definedName>
    <definedName name="Z_80D9E77B_0FDF_47F7_9E67_DE30E0CF7473_.wvu.PrintTitles" localSheetId="18" hidden="1">'17_ развитие физ.и спорта'!$8:$11</definedName>
    <definedName name="Z_80D9E77B_0FDF_47F7_9E67_DE30E0CF7473_.wvu.PrintTitles" localSheetId="19" hidden="1">'18_ отд.полн.в сфере опеки'!$8:$11</definedName>
    <definedName name="Z_80D9E77B_0FDF_47F7_9E67_DE30E0CF7473_.wvu.PrintTitles" localSheetId="20" hidden="1">'19_поддержка СОНО'!$8:$11</definedName>
    <definedName name="Z_80D9E77B_0FDF_47F7_9E67_DE30E0CF7473_.wvu.PrintTitles" localSheetId="21" hidden="1">'20_ развитие ЖКХ'!$8:$11</definedName>
    <definedName name="Z_80D9E77B_0FDF_47F7_9E67_DE30E0CF7473_.wvu.PrintTitles" localSheetId="22" hidden="1">'22_ ОБЖ'!$8:$11</definedName>
    <definedName name="Z_80D9E77B_0FDF_47F7_9E67_DE30E0CF7473_.wvu.PrintTitles" localSheetId="23" hidden="1">'23_ликвид. приспособ.строений'!$8:$11</definedName>
    <definedName name="Z_80D9E77B_0FDF_47F7_9E67_DE30E0CF7473_.wvu.PrintTitles" localSheetId="24" hidden="1">'24_ эколог.без-ть)'!$8:$11</definedName>
    <definedName name="Z_80D9E77B_0FDF_47F7_9E67_DE30E0CF7473_.wvu.PrintTitles" localSheetId="25" hidden="1">'27_ информац.общество'!$8:$11</definedName>
    <definedName name="Z_80D9E77B_0FDF_47F7_9E67_DE30E0CF7473_.wvu.PrintTitles" localSheetId="26" hidden="1">'28_ развитие образования'!$8:$11</definedName>
    <definedName name="Z_80D9E77B_0FDF_47F7_9E67_DE30E0CF7473_.wvu.PrintTitles" localSheetId="27" hidden="1">'29_ФСГС'!$8:$10</definedName>
    <definedName name="Z_80D9E77B_0FDF_47F7_9E67_DE30E0CF7473_.wvu.PrintTitles" localSheetId="28" hidden="1">'33_ доступ.маломобильных'!$8:$11</definedName>
    <definedName name="Z_80D9E77B_0FDF_47F7_9E67_DE30E0CF7473_.wvu.PrintTitles" localSheetId="29" hidden="1">лист!$8:$11</definedName>
    <definedName name="Z_80D9E77B_0FDF_47F7_9E67_DE30E0CF7473_.wvu.PrintTitles" localSheetId="30" hidden="1">'лист (2)'!$8:$11</definedName>
    <definedName name="Z_80D9E77B_0FDF_47F7_9E67_DE30E0CF7473_.wvu.PrintTitles" localSheetId="1" hidden="1">'непрограммные расходы'!$8:$11</definedName>
    <definedName name="Z_80D9E77B_0FDF_47F7_9E67_DE30E0CF7473_.wvu.PrintTitles" localSheetId="0" hidden="1">СВОД!$7:$10</definedName>
    <definedName name="Z_80D9E77B_0FDF_47F7_9E67_DE30E0CF7473_.wvu.Rows" localSheetId="2" hidden="1">'01_молодежная политика'!$26:$26</definedName>
    <definedName name="Z_80D9E77B_0FDF_47F7_9E67_DE30E0CF7473_.wvu.Rows" localSheetId="3" hidden="1">'02_летний отдых'!$19:$23</definedName>
    <definedName name="Z_80D9E77B_0FDF_47F7_9E67_DE30E0CF7473_.wvu.Rows" localSheetId="4" hidden="1">'03_УМТО'!$16:$17</definedName>
    <definedName name="Z_80D9E77B_0FDF_47F7_9E67_DE30E0CF7473_.wvu.Rows" localSheetId="5" hidden="1">'04_ развитие сферы культуры'!$23:$33</definedName>
    <definedName name="Z_80D9E77B_0FDF_47F7_9E67_DE30E0CF7473_.wvu.Rows" localSheetId="6" hidden="1">'05_ развитие муниц.службы'!#REF!</definedName>
    <definedName name="Z_80D9E77B_0FDF_47F7_9E67_DE30E0CF7473_.wvu.Rows" localSheetId="7" hidden="1">'06_ охрана труда'!#REF!</definedName>
    <definedName name="Z_80D9E77B_0FDF_47F7_9E67_DE30E0CF7473_.wvu.Rows" localSheetId="8" hidden="1">'07_равитие жил.сферы'!$23:$37</definedName>
    <definedName name="Z_80D9E77B_0FDF_47F7_9E67_DE30E0CF7473_.wvu.Rows" localSheetId="9" hidden="1">'08_ профилактикаТиЭ'!$24:$38</definedName>
    <definedName name="Z_80D9E77B_0FDF_47F7_9E67_DE30E0CF7473_.wvu.Rows" localSheetId="10" hidden="1">'09_ поддержка СМП'!$12:$19</definedName>
    <definedName name="Z_80D9E77B_0FDF_47F7_9E67_DE30E0CF7473_.wvu.Rows" localSheetId="11" hidden="1">'10_градостроительная деят'!$17:$19</definedName>
    <definedName name="Z_80D9E77B_0FDF_47F7_9E67_DE30E0CF7473_.wvu.Rows" localSheetId="12" hidden="1">'11_проводействие коррупц'!#REF!</definedName>
    <definedName name="Z_80D9E77B_0FDF_47F7_9E67_DE30E0CF7473_.wvu.Rows" localSheetId="13" hidden="1">'12_информирование'!#REF!</definedName>
    <definedName name="Z_80D9E77B_0FDF_47F7_9E67_DE30E0CF7473_.wvu.Rows" localSheetId="14" hidden="1">'13_ управление имуществом'!$24:$30</definedName>
    <definedName name="Z_80D9E77B_0FDF_47F7_9E67_DE30E0CF7473_.wvu.Rows" localSheetId="15" hidden="1">'14_ управление муниц.финансами'!$22:$25</definedName>
    <definedName name="Z_80D9E77B_0FDF_47F7_9E67_DE30E0CF7473_.wvu.Rows" localSheetId="16" hidden="1">'15_транспортная'!#REF!</definedName>
    <definedName name="Z_80D9E77B_0FDF_47F7_9E67_DE30E0CF7473_.wvu.Rows" localSheetId="17" hidden="1">'16_ обеспеч. жильем молодых '!$23:$37</definedName>
    <definedName name="Z_80D9E77B_0FDF_47F7_9E67_DE30E0CF7473_.wvu.Rows" localSheetId="18" hidden="1">'17_ развитие физ.и спорта'!#REF!</definedName>
    <definedName name="Z_80D9E77B_0FDF_47F7_9E67_DE30E0CF7473_.wvu.Rows" localSheetId="19" hidden="1">'18_ отд.полн.в сфере опеки'!#REF!</definedName>
    <definedName name="Z_80D9E77B_0FDF_47F7_9E67_DE30E0CF7473_.wvu.Rows" localSheetId="20" hidden="1">'19_поддержка СОНО'!#REF!</definedName>
    <definedName name="Z_80D9E77B_0FDF_47F7_9E67_DE30E0CF7473_.wvu.Rows" localSheetId="21" hidden="1">'20_ развитие ЖКХ'!$24:$32</definedName>
    <definedName name="Z_80D9E77B_0FDF_47F7_9E67_DE30E0CF7473_.wvu.Rows" localSheetId="22" hidden="1">'22_ ОБЖ'!#REF!</definedName>
    <definedName name="Z_80D9E77B_0FDF_47F7_9E67_DE30E0CF7473_.wvu.Rows" localSheetId="23" hidden="1">'23_ликвид. приспособ.строений'!$23:$37</definedName>
    <definedName name="Z_80D9E77B_0FDF_47F7_9E67_DE30E0CF7473_.wvu.Rows" localSheetId="24" hidden="1">'24_ эколог.без-ть)'!$16:$21</definedName>
    <definedName name="Z_80D9E77B_0FDF_47F7_9E67_DE30E0CF7473_.wvu.Rows" localSheetId="25" hidden="1">'27_ информац.общество'!$18:$28</definedName>
    <definedName name="Z_80D9E77B_0FDF_47F7_9E67_DE30E0CF7473_.wvu.Rows" localSheetId="26" hidden="1">'28_ развитие образования'!#REF!</definedName>
    <definedName name="Z_80D9E77B_0FDF_47F7_9E67_DE30E0CF7473_.wvu.Rows" localSheetId="27" hidden="1">'29_ФСГС'!$11:$14</definedName>
    <definedName name="Z_80D9E77B_0FDF_47F7_9E67_DE30E0CF7473_.wvu.Rows" localSheetId="28" hidden="1">'33_ доступ.маломобильных'!#REF!</definedName>
    <definedName name="Z_80D9E77B_0FDF_47F7_9E67_DE30E0CF7473_.wvu.Rows" localSheetId="29" hidden="1">лист!$23:$37</definedName>
    <definedName name="Z_80D9E77B_0FDF_47F7_9E67_DE30E0CF7473_.wvu.Rows" localSheetId="30" hidden="1">'лист (2)'!$23:$37</definedName>
    <definedName name="Z_80D9E77B_0FDF_47F7_9E67_DE30E0CF7473_.wvu.Rows" localSheetId="1" hidden="1">'непрограммные расходы'!$14:$15</definedName>
    <definedName name="Z_8286488C_3E2A_4969_AFC8_11C0D17DBFA2_.wvu.PrintArea" localSheetId="0" hidden="1">СВОД!$A$1:$U$29</definedName>
    <definedName name="Z_8286488C_3E2A_4969_AFC8_11C0D17DBFA2_.wvu.PrintTitles" localSheetId="2" hidden="1">'01_молодежная политика'!$8:$11</definedName>
    <definedName name="Z_8286488C_3E2A_4969_AFC8_11C0D17DBFA2_.wvu.PrintTitles" localSheetId="3" hidden="1">'02_летний отдых'!$8:$11</definedName>
    <definedName name="Z_8286488C_3E2A_4969_AFC8_11C0D17DBFA2_.wvu.PrintTitles" localSheetId="4" hidden="1">'03_УМТО'!$8:$11</definedName>
    <definedName name="Z_8286488C_3E2A_4969_AFC8_11C0D17DBFA2_.wvu.PrintTitles" localSheetId="5" hidden="1">'04_ развитие сферы культуры'!$8:$11</definedName>
    <definedName name="Z_8286488C_3E2A_4969_AFC8_11C0D17DBFA2_.wvu.PrintTitles" localSheetId="6" hidden="1">'05_ развитие муниц.службы'!$8:$11</definedName>
    <definedName name="Z_8286488C_3E2A_4969_AFC8_11C0D17DBFA2_.wvu.PrintTitles" localSheetId="7" hidden="1">'06_ охрана труда'!$8:$11</definedName>
    <definedName name="Z_8286488C_3E2A_4969_AFC8_11C0D17DBFA2_.wvu.PrintTitles" localSheetId="8" hidden="1">'07_равитие жил.сферы'!$8:$11</definedName>
    <definedName name="Z_8286488C_3E2A_4969_AFC8_11C0D17DBFA2_.wvu.PrintTitles" localSheetId="9" hidden="1">'08_ профилактикаТиЭ'!$8:$11</definedName>
    <definedName name="Z_8286488C_3E2A_4969_AFC8_11C0D17DBFA2_.wvu.PrintTitles" localSheetId="10" hidden="1">'09_ поддержка СМП'!$8:$11</definedName>
    <definedName name="Z_8286488C_3E2A_4969_AFC8_11C0D17DBFA2_.wvu.PrintTitles" localSheetId="11" hidden="1">'10_градостроительная деят'!$8:$11</definedName>
    <definedName name="Z_8286488C_3E2A_4969_AFC8_11C0D17DBFA2_.wvu.PrintTitles" localSheetId="12" hidden="1">'11_проводействие коррупц'!$8:$11</definedName>
    <definedName name="Z_8286488C_3E2A_4969_AFC8_11C0D17DBFA2_.wvu.PrintTitles" localSheetId="13" hidden="1">'12_информирование'!$8:$11</definedName>
    <definedName name="Z_8286488C_3E2A_4969_AFC8_11C0D17DBFA2_.wvu.PrintTitles" localSheetId="14" hidden="1">'13_ управление имуществом'!$8:$11</definedName>
    <definedName name="Z_8286488C_3E2A_4969_AFC8_11C0D17DBFA2_.wvu.PrintTitles" localSheetId="15" hidden="1">'14_ управление муниц.финансами'!$8:$11</definedName>
    <definedName name="Z_8286488C_3E2A_4969_AFC8_11C0D17DBFA2_.wvu.PrintTitles" localSheetId="16" hidden="1">'15_транспортная'!$8:$11</definedName>
    <definedName name="Z_8286488C_3E2A_4969_AFC8_11C0D17DBFA2_.wvu.PrintTitles" localSheetId="17" hidden="1">'16_ обеспеч. жильем молодых '!$8:$11</definedName>
    <definedName name="Z_8286488C_3E2A_4969_AFC8_11C0D17DBFA2_.wvu.PrintTitles" localSheetId="18" hidden="1">'17_ развитие физ.и спорта'!$8:$11</definedName>
    <definedName name="Z_8286488C_3E2A_4969_AFC8_11C0D17DBFA2_.wvu.PrintTitles" localSheetId="19" hidden="1">'18_ отд.полн.в сфере опеки'!$8:$11</definedName>
    <definedName name="Z_8286488C_3E2A_4969_AFC8_11C0D17DBFA2_.wvu.PrintTitles" localSheetId="20" hidden="1">'19_поддержка СОНО'!$8:$11</definedName>
    <definedName name="Z_8286488C_3E2A_4969_AFC8_11C0D17DBFA2_.wvu.PrintTitles" localSheetId="21" hidden="1">'20_ развитие ЖКХ'!$8:$11</definedName>
    <definedName name="Z_8286488C_3E2A_4969_AFC8_11C0D17DBFA2_.wvu.PrintTitles" localSheetId="22" hidden="1">'22_ ОБЖ'!$8:$11</definedName>
    <definedName name="Z_8286488C_3E2A_4969_AFC8_11C0D17DBFA2_.wvu.PrintTitles" localSheetId="23" hidden="1">'23_ликвид. приспособ.строений'!$8:$11</definedName>
    <definedName name="Z_8286488C_3E2A_4969_AFC8_11C0D17DBFA2_.wvu.PrintTitles" localSheetId="24" hidden="1">'24_ эколог.без-ть)'!$8:$11</definedName>
    <definedName name="Z_8286488C_3E2A_4969_AFC8_11C0D17DBFA2_.wvu.PrintTitles" localSheetId="25" hidden="1">'27_ информац.общество'!$8:$11</definedName>
    <definedName name="Z_8286488C_3E2A_4969_AFC8_11C0D17DBFA2_.wvu.PrintTitles" localSheetId="26" hidden="1">'28_ развитие образования'!$8:$11</definedName>
    <definedName name="Z_8286488C_3E2A_4969_AFC8_11C0D17DBFA2_.wvu.PrintTitles" localSheetId="27" hidden="1">'29_ФСГС'!$8:$10</definedName>
    <definedName name="Z_8286488C_3E2A_4969_AFC8_11C0D17DBFA2_.wvu.PrintTitles" localSheetId="28" hidden="1">'33_ доступ.маломобильных'!$8:$11</definedName>
    <definedName name="Z_8286488C_3E2A_4969_AFC8_11C0D17DBFA2_.wvu.PrintTitles" localSheetId="29" hidden="1">лист!$8:$11</definedName>
    <definedName name="Z_8286488C_3E2A_4969_AFC8_11C0D17DBFA2_.wvu.PrintTitles" localSheetId="30" hidden="1">'лист (2)'!$8:$11</definedName>
    <definedName name="Z_8286488C_3E2A_4969_AFC8_11C0D17DBFA2_.wvu.PrintTitles" localSheetId="1" hidden="1">'непрограммные расходы'!$8:$11</definedName>
    <definedName name="Z_8286488C_3E2A_4969_AFC8_11C0D17DBFA2_.wvu.PrintTitles" localSheetId="0" hidden="1">СВОД!$7:$10</definedName>
    <definedName name="Z_8286488C_3E2A_4969_AFC8_11C0D17DBFA2_.wvu.Rows" localSheetId="5" hidden="1">'04_ развитие сферы культуры'!$18:$18</definedName>
    <definedName name="Z_8286488C_3E2A_4969_AFC8_11C0D17DBFA2_.wvu.Rows" localSheetId="8" hidden="1">'07_равитие жил.сферы'!$13:$37</definedName>
    <definedName name="Z_8286488C_3E2A_4969_AFC8_11C0D17DBFA2_.wvu.Rows" localSheetId="9" hidden="1">'08_ профилактикаТиЭ'!$16:$19,'08_ профилактикаТиЭ'!$34:$37</definedName>
    <definedName name="Z_8286488C_3E2A_4969_AFC8_11C0D17DBFA2_.wvu.Rows" localSheetId="17" hidden="1">'16_ обеспеч. жильем молодых '!$13:$37</definedName>
    <definedName name="Z_887BBBC8_E1A3_4468_951B_36A5511E64E6_.wvu.PrintArea" localSheetId="0" hidden="1">СВОД!$A$1:$U$29</definedName>
    <definedName name="Z_887BBBC8_E1A3_4468_951B_36A5511E64E6_.wvu.PrintTitles" localSheetId="2" hidden="1">'01_молодежная политика'!$8:$11</definedName>
    <definedName name="Z_887BBBC8_E1A3_4468_951B_36A5511E64E6_.wvu.PrintTitles" localSheetId="3" hidden="1">'02_летний отдых'!$8:$11</definedName>
    <definedName name="Z_887BBBC8_E1A3_4468_951B_36A5511E64E6_.wvu.PrintTitles" localSheetId="4" hidden="1">'03_УМТО'!$8:$11</definedName>
    <definedName name="Z_887BBBC8_E1A3_4468_951B_36A5511E64E6_.wvu.PrintTitles" localSheetId="5" hidden="1">'04_ развитие сферы культуры'!$8:$11</definedName>
    <definedName name="Z_887BBBC8_E1A3_4468_951B_36A5511E64E6_.wvu.PrintTitles" localSheetId="6" hidden="1">'05_ развитие муниц.службы'!$8:$11</definedName>
    <definedName name="Z_887BBBC8_E1A3_4468_951B_36A5511E64E6_.wvu.PrintTitles" localSheetId="7" hidden="1">'06_ охрана труда'!$8:$11</definedName>
    <definedName name="Z_887BBBC8_E1A3_4468_951B_36A5511E64E6_.wvu.PrintTitles" localSheetId="8" hidden="1">'07_равитие жил.сферы'!$8:$11</definedName>
    <definedName name="Z_887BBBC8_E1A3_4468_951B_36A5511E64E6_.wvu.PrintTitles" localSheetId="9" hidden="1">'08_ профилактикаТиЭ'!$8:$11</definedName>
    <definedName name="Z_887BBBC8_E1A3_4468_951B_36A5511E64E6_.wvu.PrintTitles" localSheetId="10" hidden="1">'09_ поддержка СМП'!$8:$11</definedName>
    <definedName name="Z_887BBBC8_E1A3_4468_951B_36A5511E64E6_.wvu.PrintTitles" localSheetId="11" hidden="1">'10_градостроительная деят'!$8:$11</definedName>
    <definedName name="Z_887BBBC8_E1A3_4468_951B_36A5511E64E6_.wvu.PrintTitles" localSheetId="12" hidden="1">'11_проводействие коррупц'!$8:$11</definedName>
    <definedName name="Z_887BBBC8_E1A3_4468_951B_36A5511E64E6_.wvu.PrintTitles" localSheetId="13" hidden="1">'12_информирование'!$8:$11</definedName>
    <definedName name="Z_887BBBC8_E1A3_4468_951B_36A5511E64E6_.wvu.PrintTitles" localSheetId="14" hidden="1">'13_ управление имуществом'!$8:$11</definedName>
    <definedName name="Z_887BBBC8_E1A3_4468_951B_36A5511E64E6_.wvu.PrintTitles" localSheetId="15" hidden="1">'14_ управление муниц.финансами'!$8:$11</definedName>
    <definedName name="Z_887BBBC8_E1A3_4468_951B_36A5511E64E6_.wvu.PrintTitles" localSheetId="16" hidden="1">'15_транспортная'!$8:$11</definedName>
    <definedName name="Z_887BBBC8_E1A3_4468_951B_36A5511E64E6_.wvu.PrintTitles" localSheetId="17" hidden="1">'16_ обеспеч. жильем молодых '!$8:$11</definedName>
    <definedName name="Z_887BBBC8_E1A3_4468_951B_36A5511E64E6_.wvu.PrintTitles" localSheetId="18" hidden="1">'17_ развитие физ.и спорта'!$8:$11</definedName>
    <definedName name="Z_887BBBC8_E1A3_4468_951B_36A5511E64E6_.wvu.PrintTitles" localSheetId="19" hidden="1">'18_ отд.полн.в сфере опеки'!$8:$11</definedName>
    <definedName name="Z_887BBBC8_E1A3_4468_951B_36A5511E64E6_.wvu.PrintTitles" localSheetId="20" hidden="1">'19_поддержка СОНО'!$8:$11</definedName>
    <definedName name="Z_887BBBC8_E1A3_4468_951B_36A5511E64E6_.wvu.PrintTitles" localSheetId="21" hidden="1">'20_ развитие ЖКХ'!$8:$11</definedName>
    <definedName name="Z_887BBBC8_E1A3_4468_951B_36A5511E64E6_.wvu.PrintTitles" localSheetId="22" hidden="1">'22_ ОБЖ'!$8:$11</definedName>
    <definedName name="Z_887BBBC8_E1A3_4468_951B_36A5511E64E6_.wvu.PrintTitles" localSheetId="23" hidden="1">'23_ликвид. приспособ.строений'!$8:$11</definedName>
    <definedName name="Z_887BBBC8_E1A3_4468_951B_36A5511E64E6_.wvu.PrintTitles" localSheetId="24" hidden="1">'24_ эколог.без-ть)'!$8:$11</definedName>
    <definedName name="Z_887BBBC8_E1A3_4468_951B_36A5511E64E6_.wvu.PrintTitles" localSheetId="25" hidden="1">'27_ информац.общество'!$8:$11</definedName>
    <definedName name="Z_887BBBC8_E1A3_4468_951B_36A5511E64E6_.wvu.PrintTitles" localSheetId="26" hidden="1">'28_ развитие образования'!$8:$11</definedName>
    <definedName name="Z_887BBBC8_E1A3_4468_951B_36A5511E64E6_.wvu.PrintTitles" localSheetId="27" hidden="1">'29_ФСГС'!$8:$10</definedName>
    <definedName name="Z_887BBBC8_E1A3_4468_951B_36A5511E64E6_.wvu.PrintTitles" localSheetId="28" hidden="1">'33_ доступ.маломобильных'!$8:$11</definedName>
    <definedName name="Z_887BBBC8_E1A3_4468_951B_36A5511E64E6_.wvu.PrintTitles" localSheetId="29" hidden="1">лист!$8:$11</definedName>
    <definedName name="Z_887BBBC8_E1A3_4468_951B_36A5511E64E6_.wvu.PrintTitles" localSheetId="30" hidden="1">'лист (2)'!$8:$11</definedName>
    <definedName name="Z_887BBBC8_E1A3_4468_951B_36A5511E64E6_.wvu.PrintTitles" localSheetId="1" hidden="1">'непрограммные расходы'!$8:$11</definedName>
    <definedName name="Z_887BBBC8_E1A3_4468_951B_36A5511E64E6_.wvu.PrintTitles" localSheetId="0" hidden="1">СВОД!$7:$10</definedName>
    <definedName name="Z_887BBBC8_E1A3_4468_951B_36A5511E64E6_.wvu.Rows" localSheetId="5" hidden="1">'04_ развитие сферы культуры'!$18:$18</definedName>
    <definedName name="Z_887BBBC8_E1A3_4468_951B_36A5511E64E6_.wvu.Rows" localSheetId="8" hidden="1">'07_равитие жил.сферы'!$13:$37</definedName>
    <definedName name="Z_887BBBC8_E1A3_4468_951B_36A5511E64E6_.wvu.Rows" localSheetId="9" hidden="1">'08_ профилактикаТиЭ'!$16:$19,'08_ профилактикаТиЭ'!$34:$37</definedName>
    <definedName name="Z_887BBBC8_E1A3_4468_951B_36A5511E64E6_.wvu.Rows" localSheetId="17" hidden="1">'16_ обеспеч. жильем молодых '!$13:$37</definedName>
    <definedName name="Z_8BE83DB2_6774_48C6_92AB_2B7F8E9B28FE_.wvu.PrintTitles" localSheetId="2" hidden="1">'01_молодежная политика'!$8:$11</definedName>
    <definedName name="Z_8BE83DB2_6774_48C6_92AB_2B7F8E9B28FE_.wvu.PrintTitles" localSheetId="3" hidden="1">'02_летний отдых'!$8:$11</definedName>
    <definedName name="Z_8BE83DB2_6774_48C6_92AB_2B7F8E9B28FE_.wvu.PrintTitles" localSheetId="4" hidden="1">'03_УМТО'!$8:$11</definedName>
    <definedName name="Z_8BE83DB2_6774_48C6_92AB_2B7F8E9B28FE_.wvu.PrintTitles" localSheetId="5" hidden="1">'04_ развитие сферы культуры'!$8:$11</definedName>
    <definedName name="Z_8BE83DB2_6774_48C6_92AB_2B7F8E9B28FE_.wvu.PrintTitles" localSheetId="6" hidden="1">'05_ развитие муниц.службы'!$8:$11</definedName>
    <definedName name="Z_8BE83DB2_6774_48C6_92AB_2B7F8E9B28FE_.wvu.PrintTitles" localSheetId="7" hidden="1">'06_ охрана труда'!$8:$11</definedName>
    <definedName name="Z_8BE83DB2_6774_48C6_92AB_2B7F8E9B28FE_.wvu.PrintTitles" localSheetId="8" hidden="1">'07_равитие жил.сферы'!$8:$11</definedName>
    <definedName name="Z_8BE83DB2_6774_48C6_92AB_2B7F8E9B28FE_.wvu.PrintTitles" localSheetId="9" hidden="1">'08_ профилактикаТиЭ'!$8:$11</definedName>
    <definedName name="Z_8BE83DB2_6774_48C6_92AB_2B7F8E9B28FE_.wvu.PrintTitles" localSheetId="10" hidden="1">'09_ поддержка СМП'!$8:$11</definedName>
    <definedName name="Z_8BE83DB2_6774_48C6_92AB_2B7F8E9B28FE_.wvu.PrintTitles" localSheetId="11" hidden="1">'10_градостроительная деят'!$8:$11</definedName>
    <definedName name="Z_8BE83DB2_6774_48C6_92AB_2B7F8E9B28FE_.wvu.PrintTitles" localSheetId="12" hidden="1">'11_проводействие коррупц'!$8:$11</definedName>
    <definedName name="Z_8BE83DB2_6774_48C6_92AB_2B7F8E9B28FE_.wvu.PrintTitles" localSheetId="13" hidden="1">'12_информирование'!$8:$11</definedName>
    <definedName name="Z_8BE83DB2_6774_48C6_92AB_2B7F8E9B28FE_.wvu.PrintTitles" localSheetId="14" hidden="1">'13_ управление имуществом'!$8:$11</definedName>
    <definedName name="Z_8BE83DB2_6774_48C6_92AB_2B7F8E9B28FE_.wvu.PrintTitles" localSheetId="15" hidden="1">'14_ управление муниц.финансами'!$8:$11</definedName>
    <definedName name="Z_8BE83DB2_6774_48C6_92AB_2B7F8E9B28FE_.wvu.PrintTitles" localSheetId="16" hidden="1">'15_транспортная'!$8:$11</definedName>
    <definedName name="Z_8BE83DB2_6774_48C6_92AB_2B7F8E9B28FE_.wvu.PrintTitles" localSheetId="17" hidden="1">'16_ обеспеч. жильем молодых '!$8:$11</definedName>
    <definedName name="Z_8BE83DB2_6774_48C6_92AB_2B7F8E9B28FE_.wvu.PrintTitles" localSheetId="18" hidden="1">'17_ развитие физ.и спорта'!$8:$11</definedName>
    <definedName name="Z_8BE83DB2_6774_48C6_92AB_2B7F8E9B28FE_.wvu.PrintTitles" localSheetId="19" hidden="1">'18_ отд.полн.в сфере опеки'!$8:$11</definedName>
    <definedName name="Z_8BE83DB2_6774_48C6_92AB_2B7F8E9B28FE_.wvu.PrintTitles" localSheetId="20" hidden="1">'19_поддержка СОНО'!$8:$11</definedName>
    <definedName name="Z_8BE83DB2_6774_48C6_92AB_2B7F8E9B28FE_.wvu.PrintTitles" localSheetId="21" hidden="1">'20_ развитие ЖКХ'!$8:$11</definedName>
    <definedName name="Z_8BE83DB2_6774_48C6_92AB_2B7F8E9B28FE_.wvu.PrintTitles" localSheetId="22" hidden="1">'22_ ОБЖ'!$8:$11</definedName>
    <definedName name="Z_8BE83DB2_6774_48C6_92AB_2B7F8E9B28FE_.wvu.PrintTitles" localSheetId="23" hidden="1">'23_ликвид. приспособ.строений'!$8:$11</definedName>
    <definedName name="Z_8BE83DB2_6774_48C6_92AB_2B7F8E9B28FE_.wvu.PrintTitles" localSheetId="24" hidden="1">'24_ эколог.без-ть)'!$8:$11</definedName>
    <definedName name="Z_8BE83DB2_6774_48C6_92AB_2B7F8E9B28FE_.wvu.PrintTitles" localSheetId="25" hidden="1">'27_ информац.общество'!$8:$11</definedName>
    <definedName name="Z_8BE83DB2_6774_48C6_92AB_2B7F8E9B28FE_.wvu.PrintTitles" localSheetId="26" hidden="1">'28_ развитие образования'!$8:$11</definedName>
    <definedName name="Z_8BE83DB2_6774_48C6_92AB_2B7F8E9B28FE_.wvu.PrintTitles" localSheetId="27" hidden="1">'29_ФСГС'!$8:$10</definedName>
    <definedName name="Z_8BE83DB2_6774_48C6_92AB_2B7F8E9B28FE_.wvu.PrintTitles" localSheetId="28" hidden="1">'33_ доступ.маломобильных'!$8:$11</definedName>
    <definedName name="Z_8BE83DB2_6774_48C6_92AB_2B7F8E9B28FE_.wvu.PrintTitles" localSheetId="29" hidden="1">лист!$8:$11</definedName>
    <definedName name="Z_8BE83DB2_6774_48C6_92AB_2B7F8E9B28FE_.wvu.PrintTitles" localSheetId="30" hidden="1">'лист (2)'!$8:$11</definedName>
    <definedName name="Z_8BE83DB2_6774_48C6_92AB_2B7F8E9B28FE_.wvu.PrintTitles" localSheetId="1" hidden="1">'непрограммные расходы'!$8:$11</definedName>
    <definedName name="Z_8BE83DB2_6774_48C6_92AB_2B7F8E9B28FE_.wvu.PrintTitles" localSheetId="0" hidden="1">СВОД!$7:$10</definedName>
    <definedName name="Z_8BE83DB2_6774_48C6_92AB_2B7F8E9B28FE_.wvu.Rows" localSheetId="2" hidden="1">'01_молодежная политика'!$26:$26</definedName>
    <definedName name="Z_8BE83DB2_6774_48C6_92AB_2B7F8E9B28FE_.wvu.Rows" localSheetId="3" hidden="1">'02_летний отдых'!$19:$23</definedName>
    <definedName name="Z_8BE83DB2_6774_48C6_92AB_2B7F8E9B28FE_.wvu.Rows" localSheetId="4" hidden="1">'03_УМТО'!$16:$17</definedName>
    <definedName name="Z_8BE83DB2_6774_48C6_92AB_2B7F8E9B28FE_.wvu.Rows" localSheetId="5" hidden="1">'04_ развитие сферы культуры'!$23:$33</definedName>
    <definedName name="Z_8BE83DB2_6774_48C6_92AB_2B7F8E9B28FE_.wvu.Rows" localSheetId="6" hidden="1">'05_ развитие муниц.службы'!#REF!</definedName>
    <definedName name="Z_8BE83DB2_6774_48C6_92AB_2B7F8E9B28FE_.wvu.Rows" localSheetId="7" hidden="1">'06_ охрана труда'!#REF!</definedName>
    <definedName name="Z_8BE83DB2_6774_48C6_92AB_2B7F8E9B28FE_.wvu.Rows" localSheetId="8" hidden="1">'07_равитие жил.сферы'!$23:$37</definedName>
    <definedName name="Z_8BE83DB2_6774_48C6_92AB_2B7F8E9B28FE_.wvu.Rows" localSheetId="9" hidden="1">'08_ профилактикаТиЭ'!$24:$38</definedName>
    <definedName name="Z_8BE83DB2_6774_48C6_92AB_2B7F8E9B28FE_.wvu.Rows" localSheetId="10" hidden="1">'09_ поддержка СМП'!$12:$19</definedName>
    <definedName name="Z_8BE83DB2_6774_48C6_92AB_2B7F8E9B28FE_.wvu.Rows" localSheetId="11" hidden="1">'10_градостроительная деят'!$17:$19</definedName>
    <definedName name="Z_8BE83DB2_6774_48C6_92AB_2B7F8E9B28FE_.wvu.Rows" localSheetId="12" hidden="1">'11_проводействие коррупц'!#REF!</definedName>
    <definedName name="Z_8BE83DB2_6774_48C6_92AB_2B7F8E9B28FE_.wvu.Rows" localSheetId="13" hidden="1">'12_информирование'!#REF!</definedName>
    <definedName name="Z_8BE83DB2_6774_48C6_92AB_2B7F8E9B28FE_.wvu.Rows" localSheetId="14" hidden="1">'13_ управление имуществом'!$24:$30</definedName>
    <definedName name="Z_8BE83DB2_6774_48C6_92AB_2B7F8E9B28FE_.wvu.Rows" localSheetId="15" hidden="1">'14_ управление муниц.финансами'!$22:$25</definedName>
    <definedName name="Z_8BE83DB2_6774_48C6_92AB_2B7F8E9B28FE_.wvu.Rows" localSheetId="16" hidden="1">'15_транспортная'!#REF!</definedName>
    <definedName name="Z_8BE83DB2_6774_48C6_92AB_2B7F8E9B28FE_.wvu.Rows" localSheetId="17" hidden="1">'16_ обеспеч. жильем молодых '!$23:$37</definedName>
    <definedName name="Z_8BE83DB2_6774_48C6_92AB_2B7F8E9B28FE_.wvu.Rows" localSheetId="18" hidden="1">'17_ развитие физ.и спорта'!#REF!</definedName>
    <definedName name="Z_8BE83DB2_6774_48C6_92AB_2B7F8E9B28FE_.wvu.Rows" localSheetId="19" hidden="1">'18_ отд.полн.в сфере опеки'!#REF!</definedName>
    <definedName name="Z_8BE83DB2_6774_48C6_92AB_2B7F8E9B28FE_.wvu.Rows" localSheetId="20" hidden="1">'19_поддержка СОНО'!#REF!</definedName>
    <definedName name="Z_8BE83DB2_6774_48C6_92AB_2B7F8E9B28FE_.wvu.Rows" localSheetId="21" hidden="1">'20_ развитие ЖКХ'!$24:$32</definedName>
    <definedName name="Z_8BE83DB2_6774_48C6_92AB_2B7F8E9B28FE_.wvu.Rows" localSheetId="22" hidden="1">'22_ ОБЖ'!#REF!</definedName>
    <definedName name="Z_8BE83DB2_6774_48C6_92AB_2B7F8E9B28FE_.wvu.Rows" localSheetId="23" hidden="1">'23_ликвид. приспособ.строений'!$23:$37</definedName>
    <definedName name="Z_8BE83DB2_6774_48C6_92AB_2B7F8E9B28FE_.wvu.Rows" localSheetId="24" hidden="1">'24_ эколог.без-ть)'!$16:$21</definedName>
    <definedName name="Z_8BE83DB2_6774_48C6_92AB_2B7F8E9B28FE_.wvu.Rows" localSheetId="25" hidden="1">'27_ информац.общество'!$18:$28</definedName>
    <definedName name="Z_8BE83DB2_6774_48C6_92AB_2B7F8E9B28FE_.wvu.Rows" localSheetId="26" hidden="1">'28_ развитие образования'!#REF!</definedName>
    <definedName name="Z_8BE83DB2_6774_48C6_92AB_2B7F8E9B28FE_.wvu.Rows" localSheetId="27" hidden="1">'29_ФСГС'!$11:$14</definedName>
    <definedName name="Z_8BE83DB2_6774_48C6_92AB_2B7F8E9B28FE_.wvu.Rows" localSheetId="28" hidden="1">'33_ доступ.маломобильных'!#REF!</definedName>
    <definedName name="Z_8BE83DB2_6774_48C6_92AB_2B7F8E9B28FE_.wvu.Rows" localSheetId="29" hidden="1">лист!$23:$37</definedName>
    <definedName name="Z_8BE83DB2_6774_48C6_92AB_2B7F8E9B28FE_.wvu.Rows" localSheetId="30" hidden="1">'лист (2)'!$23:$37</definedName>
    <definedName name="Z_8BE83DB2_6774_48C6_92AB_2B7F8E9B28FE_.wvu.Rows" localSheetId="1" hidden="1">'непрограммные расходы'!$14:$15</definedName>
    <definedName name="Z_9D6C8421_31F4_449D_B427_1D13044E970D_.wvu.PrintTitles" localSheetId="2" hidden="1">'01_молодежная политика'!$8:$11</definedName>
    <definedName name="Z_9D6C8421_31F4_449D_B427_1D13044E970D_.wvu.PrintTitles" localSheetId="3" hidden="1">'02_летний отдых'!$8:$11</definedName>
    <definedName name="Z_9D6C8421_31F4_449D_B427_1D13044E970D_.wvu.PrintTitles" localSheetId="4" hidden="1">'03_УМТО'!$8:$11</definedName>
    <definedName name="Z_9D6C8421_31F4_449D_B427_1D13044E970D_.wvu.PrintTitles" localSheetId="5" hidden="1">'04_ развитие сферы культуры'!$8:$11</definedName>
    <definedName name="Z_9D6C8421_31F4_449D_B427_1D13044E970D_.wvu.PrintTitles" localSheetId="6" hidden="1">'05_ развитие муниц.службы'!$8:$11</definedName>
    <definedName name="Z_9D6C8421_31F4_449D_B427_1D13044E970D_.wvu.PrintTitles" localSheetId="7" hidden="1">'06_ охрана труда'!$8:$11</definedName>
    <definedName name="Z_9D6C8421_31F4_449D_B427_1D13044E970D_.wvu.PrintTitles" localSheetId="8" hidden="1">'07_равитие жил.сферы'!$8:$11</definedName>
    <definedName name="Z_9D6C8421_31F4_449D_B427_1D13044E970D_.wvu.PrintTitles" localSheetId="9" hidden="1">'08_ профилактикаТиЭ'!$8:$11</definedName>
    <definedName name="Z_9D6C8421_31F4_449D_B427_1D13044E970D_.wvu.PrintTitles" localSheetId="10" hidden="1">'09_ поддержка СМП'!$8:$11</definedName>
    <definedName name="Z_9D6C8421_31F4_449D_B427_1D13044E970D_.wvu.PrintTitles" localSheetId="11" hidden="1">'10_градостроительная деят'!$8:$11</definedName>
    <definedName name="Z_9D6C8421_31F4_449D_B427_1D13044E970D_.wvu.PrintTitles" localSheetId="12" hidden="1">'11_проводействие коррупц'!$8:$11</definedName>
    <definedName name="Z_9D6C8421_31F4_449D_B427_1D13044E970D_.wvu.PrintTitles" localSheetId="13" hidden="1">'12_информирование'!$8:$11</definedName>
    <definedName name="Z_9D6C8421_31F4_449D_B427_1D13044E970D_.wvu.PrintTitles" localSheetId="14" hidden="1">'13_ управление имуществом'!$8:$11</definedName>
    <definedName name="Z_9D6C8421_31F4_449D_B427_1D13044E970D_.wvu.PrintTitles" localSheetId="15" hidden="1">'14_ управление муниц.финансами'!$8:$11</definedName>
    <definedName name="Z_9D6C8421_31F4_449D_B427_1D13044E970D_.wvu.PrintTitles" localSheetId="16" hidden="1">'15_транспортная'!$8:$11</definedName>
    <definedName name="Z_9D6C8421_31F4_449D_B427_1D13044E970D_.wvu.PrintTitles" localSheetId="17" hidden="1">'16_ обеспеч. жильем молодых '!$8:$11</definedName>
    <definedName name="Z_9D6C8421_31F4_449D_B427_1D13044E970D_.wvu.PrintTitles" localSheetId="18" hidden="1">'17_ развитие физ.и спорта'!$8:$11</definedName>
    <definedName name="Z_9D6C8421_31F4_449D_B427_1D13044E970D_.wvu.PrintTitles" localSheetId="19" hidden="1">'18_ отд.полн.в сфере опеки'!$8:$11</definedName>
    <definedName name="Z_9D6C8421_31F4_449D_B427_1D13044E970D_.wvu.PrintTitles" localSheetId="20" hidden="1">'19_поддержка СОНО'!$8:$11</definedName>
    <definedName name="Z_9D6C8421_31F4_449D_B427_1D13044E970D_.wvu.PrintTitles" localSheetId="21" hidden="1">'20_ развитие ЖКХ'!$8:$11</definedName>
    <definedName name="Z_9D6C8421_31F4_449D_B427_1D13044E970D_.wvu.PrintTitles" localSheetId="22" hidden="1">'22_ ОБЖ'!$8:$11</definedName>
    <definedName name="Z_9D6C8421_31F4_449D_B427_1D13044E970D_.wvu.PrintTitles" localSheetId="23" hidden="1">'23_ликвид. приспособ.строений'!$8:$11</definedName>
    <definedName name="Z_9D6C8421_31F4_449D_B427_1D13044E970D_.wvu.PrintTitles" localSheetId="24" hidden="1">'24_ эколог.без-ть)'!$8:$11</definedName>
    <definedName name="Z_9D6C8421_31F4_449D_B427_1D13044E970D_.wvu.PrintTitles" localSheetId="25" hidden="1">'27_ информац.общество'!$8:$11</definedName>
    <definedName name="Z_9D6C8421_31F4_449D_B427_1D13044E970D_.wvu.PrintTitles" localSheetId="26" hidden="1">'28_ развитие образования'!$8:$11</definedName>
    <definedName name="Z_9D6C8421_31F4_449D_B427_1D13044E970D_.wvu.PrintTitles" localSheetId="27" hidden="1">'29_ФСГС'!$8:$10</definedName>
    <definedName name="Z_9D6C8421_31F4_449D_B427_1D13044E970D_.wvu.PrintTitles" localSheetId="28" hidden="1">'33_ доступ.маломобильных'!$8:$11</definedName>
    <definedName name="Z_9D6C8421_31F4_449D_B427_1D13044E970D_.wvu.PrintTitles" localSheetId="29" hidden="1">лист!$8:$11</definedName>
    <definedName name="Z_9D6C8421_31F4_449D_B427_1D13044E970D_.wvu.PrintTitles" localSheetId="30" hidden="1">'лист (2)'!$8:$11</definedName>
    <definedName name="Z_9D6C8421_31F4_449D_B427_1D13044E970D_.wvu.PrintTitles" localSheetId="1" hidden="1">'непрограммные расходы'!$8:$11</definedName>
    <definedName name="Z_9D6C8421_31F4_449D_B427_1D13044E970D_.wvu.Rows" localSheetId="5" hidden="1">'04_ развитие сферы культуры'!$18:$18</definedName>
    <definedName name="Z_9D6C8421_31F4_449D_B427_1D13044E970D_.wvu.Rows" localSheetId="8" hidden="1">'07_равитие жил.сферы'!$13:$37</definedName>
    <definedName name="Z_9D6C8421_31F4_449D_B427_1D13044E970D_.wvu.Rows" localSheetId="9" hidden="1">'08_ профилактикаТиЭ'!$16:$19,'08_ профилактикаТиЭ'!$34:$37</definedName>
    <definedName name="Z_9D6C8421_31F4_449D_B427_1D13044E970D_.wvu.Rows" localSheetId="17" hidden="1">'16_ обеспеч. жильем молодых '!$13:$37</definedName>
    <definedName name="Z_9FDA873B_3790_49DF_BB2A_AB29A0E400EE_.wvu.PrintArea" localSheetId="0" hidden="1">СВОД!$A$1:$U$29</definedName>
    <definedName name="Z_9FDA873B_3790_49DF_BB2A_AB29A0E400EE_.wvu.PrintTitles" localSheetId="2" hidden="1">'01_молодежная политика'!$8:$11</definedName>
    <definedName name="Z_9FDA873B_3790_49DF_BB2A_AB29A0E400EE_.wvu.PrintTitles" localSheetId="3" hidden="1">'02_летний отдых'!$8:$11</definedName>
    <definedName name="Z_9FDA873B_3790_49DF_BB2A_AB29A0E400EE_.wvu.PrintTitles" localSheetId="4" hidden="1">'03_УМТО'!$8:$11</definedName>
    <definedName name="Z_9FDA873B_3790_49DF_BB2A_AB29A0E400EE_.wvu.PrintTitles" localSheetId="5" hidden="1">'04_ развитие сферы культуры'!$8:$11</definedName>
    <definedName name="Z_9FDA873B_3790_49DF_BB2A_AB29A0E400EE_.wvu.PrintTitles" localSheetId="6" hidden="1">'05_ развитие муниц.службы'!$8:$11</definedName>
    <definedName name="Z_9FDA873B_3790_49DF_BB2A_AB29A0E400EE_.wvu.PrintTitles" localSheetId="7" hidden="1">'06_ охрана труда'!$8:$11</definedName>
    <definedName name="Z_9FDA873B_3790_49DF_BB2A_AB29A0E400EE_.wvu.PrintTitles" localSheetId="8" hidden="1">'07_равитие жил.сферы'!$8:$11</definedName>
    <definedName name="Z_9FDA873B_3790_49DF_BB2A_AB29A0E400EE_.wvu.PrintTitles" localSheetId="9" hidden="1">'08_ профилактикаТиЭ'!$8:$11</definedName>
    <definedName name="Z_9FDA873B_3790_49DF_BB2A_AB29A0E400EE_.wvu.PrintTitles" localSheetId="10" hidden="1">'09_ поддержка СМП'!$8:$11</definedName>
    <definedName name="Z_9FDA873B_3790_49DF_BB2A_AB29A0E400EE_.wvu.PrintTitles" localSheetId="11" hidden="1">'10_градостроительная деят'!$8:$11</definedName>
    <definedName name="Z_9FDA873B_3790_49DF_BB2A_AB29A0E400EE_.wvu.PrintTitles" localSheetId="12" hidden="1">'11_проводействие коррупц'!$8:$11</definedName>
    <definedName name="Z_9FDA873B_3790_49DF_BB2A_AB29A0E400EE_.wvu.PrintTitles" localSheetId="13" hidden="1">'12_информирование'!$8:$11</definedName>
    <definedName name="Z_9FDA873B_3790_49DF_BB2A_AB29A0E400EE_.wvu.PrintTitles" localSheetId="14" hidden="1">'13_ управление имуществом'!$8:$11</definedName>
    <definedName name="Z_9FDA873B_3790_49DF_BB2A_AB29A0E400EE_.wvu.PrintTitles" localSheetId="15" hidden="1">'14_ управление муниц.финансами'!$8:$11</definedName>
    <definedName name="Z_9FDA873B_3790_49DF_BB2A_AB29A0E400EE_.wvu.PrintTitles" localSheetId="16" hidden="1">'15_транспортная'!$8:$11</definedName>
    <definedName name="Z_9FDA873B_3790_49DF_BB2A_AB29A0E400EE_.wvu.PrintTitles" localSheetId="17" hidden="1">'16_ обеспеч. жильем молодых '!$8:$11</definedName>
    <definedName name="Z_9FDA873B_3790_49DF_BB2A_AB29A0E400EE_.wvu.PrintTitles" localSheetId="18" hidden="1">'17_ развитие физ.и спорта'!$8:$11</definedName>
    <definedName name="Z_9FDA873B_3790_49DF_BB2A_AB29A0E400EE_.wvu.PrintTitles" localSheetId="19" hidden="1">'18_ отд.полн.в сфере опеки'!$8:$11</definedName>
    <definedName name="Z_9FDA873B_3790_49DF_BB2A_AB29A0E400EE_.wvu.PrintTitles" localSheetId="20" hidden="1">'19_поддержка СОНО'!$8:$11</definedName>
    <definedName name="Z_9FDA873B_3790_49DF_BB2A_AB29A0E400EE_.wvu.PrintTitles" localSheetId="21" hidden="1">'20_ развитие ЖКХ'!$8:$11</definedName>
    <definedName name="Z_9FDA873B_3790_49DF_BB2A_AB29A0E400EE_.wvu.PrintTitles" localSheetId="22" hidden="1">'22_ ОБЖ'!$8:$11</definedName>
    <definedName name="Z_9FDA873B_3790_49DF_BB2A_AB29A0E400EE_.wvu.PrintTitles" localSheetId="23" hidden="1">'23_ликвид. приспособ.строений'!$8:$11</definedName>
    <definedName name="Z_9FDA873B_3790_49DF_BB2A_AB29A0E400EE_.wvu.PrintTitles" localSheetId="24" hidden="1">'24_ эколог.без-ть)'!$8:$11</definedName>
    <definedName name="Z_9FDA873B_3790_49DF_BB2A_AB29A0E400EE_.wvu.PrintTitles" localSheetId="25" hidden="1">'27_ информац.общество'!$8:$11</definedName>
    <definedName name="Z_9FDA873B_3790_49DF_BB2A_AB29A0E400EE_.wvu.PrintTitles" localSheetId="26" hidden="1">'28_ развитие образования'!$8:$11</definedName>
    <definedName name="Z_9FDA873B_3790_49DF_BB2A_AB29A0E400EE_.wvu.PrintTitles" localSheetId="27" hidden="1">'29_ФСГС'!$8:$10</definedName>
    <definedName name="Z_9FDA873B_3790_49DF_BB2A_AB29A0E400EE_.wvu.PrintTitles" localSheetId="28" hidden="1">'33_ доступ.маломобильных'!$8:$11</definedName>
    <definedName name="Z_9FDA873B_3790_49DF_BB2A_AB29A0E400EE_.wvu.PrintTitles" localSheetId="29" hidden="1">лист!$8:$11</definedName>
    <definedName name="Z_9FDA873B_3790_49DF_BB2A_AB29A0E400EE_.wvu.PrintTitles" localSheetId="30" hidden="1">'лист (2)'!$8:$11</definedName>
    <definedName name="Z_9FDA873B_3790_49DF_BB2A_AB29A0E400EE_.wvu.PrintTitles" localSheetId="1" hidden="1">'непрограммные расходы'!$8:$11</definedName>
    <definedName name="Z_9FDA873B_3790_49DF_BB2A_AB29A0E400EE_.wvu.PrintTitles" localSheetId="0" hidden="1">СВОД!$7:$10</definedName>
    <definedName name="Z_9FDA873B_3790_49DF_BB2A_AB29A0E400EE_.wvu.Rows" localSheetId="5" hidden="1">'04_ развитие сферы культуры'!$18:$18</definedName>
    <definedName name="Z_9FDA873B_3790_49DF_BB2A_AB29A0E400EE_.wvu.Rows" localSheetId="8" hidden="1">'07_равитие жил.сферы'!$13:$37</definedName>
    <definedName name="Z_9FDA873B_3790_49DF_BB2A_AB29A0E400EE_.wvu.Rows" localSheetId="9" hidden="1">'08_ профилактикаТиЭ'!$16:$19,'08_ профилактикаТиЭ'!$34:$37</definedName>
    <definedName name="Z_9FDA873B_3790_49DF_BB2A_AB29A0E400EE_.wvu.Rows" localSheetId="17" hidden="1">'16_ обеспеч. жильем молодых '!$13:$37</definedName>
    <definedName name="Z_A5DBAE43_8F82_4F4D_9055_3A08EB5E7494_.wvu.PrintTitles" localSheetId="2" hidden="1">'01_молодежная политика'!$8:$11</definedName>
    <definedName name="Z_A5DBAE43_8F82_4F4D_9055_3A08EB5E7494_.wvu.PrintTitles" localSheetId="3" hidden="1">'02_летний отдых'!$8:$11</definedName>
    <definedName name="Z_A5DBAE43_8F82_4F4D_9055_3A08EB5E7494_.wvu.PrintTitles" localSheetId="4" hidden="1">'03_УМТО'!$8:$11</definedName>
    <definedName name="Z_A5DBAE43_8F82_4F4D_9055_3A08EB5E7494_.wvu.PrintTitles" localSheetId="5" hidden="1">'04_ развитие сферы культуры'!$8:$11</definedName>
    <definedName name="Z_A5DBAE43_8F82_4F4D_9055_3A08EB5E7494_.wvu.PrintTitles" localSheetId="6" hidden="1">'05_ развитие муниц.службы'!$8:$11</definedName>
    <definedName name="Z_A5DBAE43_8F82_4F4D_9055_3A08EB5E7494_.wvu.PrintTitles" localSheetId="7" hidden="1">'06_ охрана труда'!$8:$11</definedName>
    <definedName name="Z_A5DBAE43_8F82_4F4D_9055_3A08EB5E7494_.wvu.PrintTitles" localSheetId="8" hidden="1">'07_равитие жил.сферы'!$8:$11</definedName>
    <definedName name="Z_A5DBAE43_8F82_4F4D_9055_3A08EB5E7494_.wvu.PrintTitles" localSheetId="9" hidden="1">'08_ профилактикаТиЭ'!$8:$11</definedName>
    <definedName name="Z_A5DBAE43_8F82_4F4D_9055_3A08EB5E7494_.wvu.PrintTitles" localSheetId="10" hidden="1">'09_ поддержка СМП'!$8:$11</definedName>
    <definedName name="Z_A5DBAE43_8F82_4F4D_9055_3A08EB5E7494_.wvu.PrintTitles" localSheetId="11" hidden="1">'10_градостроительная деят'!$8:$11</definedName>
    <definedName name="Z_A5DBAE43_8F82_4F4D_9055_3A08EB5E7494_.wvu.PrintTitles" localSheetId="12" hidden="1">'11_проводействие коррупц'!$8:$11</definedName>
    <definedName name="Z_A5DBAE43_8F82_4F4D_9055_3A08EB5E7494_.wvu.PrintTitles" localSheetId="13" hidden="1">'12_информирование'!$8:$11</definedName>
    <definedName name="Z_A5DBAE43_8F82_4F4D_9055_3A08EB5E7494_.wvu.PrintTitles" localSheetId="14" hidden="1">'13_ управление имуществом'!$8:$11</definedName>
    <definedName name="Z_A5DBAE43_8F82_4F4D_9055_3A08EB5E7494_.wvu.PrintTitles" localSheetId="15" hidden="1">'14_ управление муниц.финансами'!$8:$11</definedName>
    <definedName name="Z_A5DBAE43_8F82_4F4D_9055_3A08EB5E7494_.wvu.PrintTitles" localSheetId="16" hidden="1">'15_транспортная'!$8:$11</definedName>
    <definedName name="Z_A5DBAE43_8F82_4F4D_9055_3A08EB5E7494_.wvu.PrintTitles" localSheetId="17" hidden="1">'16_ обеспеч. жильем молодых '!$8:$11</definedName>
    <definedName name="Z_A5DBAE43_8F82_4F4D_9055_3A08EB5E7494_.wvu.PrintTitles" localSheetId="18" hidden="1">'17_ развитие физ.и спорта'!$8:$11</definedName>
    <definedName name="Z_A5DBAE43_8F82_4F4D_9055_3A08EB5E7494_.wvu.PrintTitles" localSheetId="19" hidden="1">'18_ отд.полн.в сфере опеки'!$8:$11</definedName>
    <definedName name="Z_A5DBAE43_8F82_4F4D_9055_3A08EB5E7494_.wvu.PrintTitles" localSheetId="20" hidden="1">'19_поддержка СОНО'!$8:$11</definedName>
    <definedName name="Z_A5DBAE43_8F82_4F4D_9055_3A08EB5E7494_.wvu.PrintTitles" localSheetId="21" hidden="1">'20_ развитие ЖКХ'!$8:$11</definedName>
    <definedName name="Z_A5DBAE43_8F82_4F4D_9055_3A08EB5E7494_.wvu.PrintTitles" localSheetId="22" hidden="1">'22_ ОБЖ'!$8:$11</definedName>
    <definedName name="Z_A5DBAE43_8F82_4F4D_9055_3A08EB5E7494_.wvu.PrintTitles" localSheetId="23" hidden="1">'23_ликвид. приспособ.строений'!$8:$11</definedName>
    <definedName name="Z_A5DBAE43_8F82_4F4D_9055_3A08EB5E7494_.wvu.PrintTitles" localSheetId="24" hidden="1">'24_ эколог.без-ть)'!$8:$11</definedName>
    <definedName name="Z_A5DBAE43_8F82_4F4D_9055_3A08EB5E7494_.wvu.PrintTitles" localSheetId="25" hidden="1">'27_ информац.общество'!$8:$11</definedName>
    <definedName name="Z_A5DBAE43_8F82_4F4D_9055_3A08EB5E7494_.wvu.PrintTitles" localSheetId="26" hidden="1">'28_ развитие образования'!$8:$11</definedName>
    <definedName name="Z_A5DBAE43_8F82_4F4D_9055_3A08EB5E7494_.wvu.PrintTitles" localSheetId="27" hidden="1">'29_ФСГС'!$8:$10</definedName>
    <definedName name="Z_A5DBAE43_8F82_4F4D_9055_3A08EB5E7494_.wvu.PrintTitles" localSheetId="28" hidden="1">'33_ доступ.маломобильных'!$8:$11</definedName>
    <definedName name="Z_A5DBAE43_8F82_4F4D_9055_3A08EB5E7494_.wvu.PrintTitles" localSheetId="29" hidden="1">лист!$8:$11</definedName>
    <definedName name="Z_A5DBAE43_8F82_4F4D_9055_3A08EB5E7494_.wvu.PrintTitles" localSheetId="30" hidden="1">'лист (2)'!$8:$11</definedName>
    <definedName name="Z_A5DBAE43_8F82_4F4D_9055_3A08EB5E7494_.wvu.PrintTitles" localSheetId="1" hidden="1">'непрограммные расходы'!$8:$11</definedName>
    <definedName name="Z_A5DBAE43_8F82_4F4D_9055_3A08EB5E7494_.wvu.PrintTitles" localSheetId="0" hidden="1">СВОД!$7:$10</definedName>
    <definedName name="Z_A5DBAE43_8F82_4F4D_9055_3A08EB5E7494_.wvu.Rows" localSheetId="2" hidden="1">'01_молодежная политика'!$26:$26</definedName>
    <definedName name="Z_A5DBAE43_8F82_4F4D_9055_3A08EB5E7494_.wvu.Rows" localSheetId="3" hidden="1">'02_летний отдых'!$19:$23</definedName>
    <definedName name="Z_A5DBAE43_8F82_4F4D_9055_3A08EB5E7494_.wvu.Rows" localSheetId="4" hidden="1">'03_УМТО'!$16:$17</definedName>
    <definedName name="Z_A5DBAE43_8F82_4F4D_9055_3A08EB5E7494_.wvu.Rows" localSheetId="5" hidden="1">'04_ развитие сферы культуры'!$23:$33</definedName>
    <definedName name="Z_A5DBAE43_8F82_4F4D_9055_3A08EB5E7494_.wvu.Rows" localSheetId="6" hidden="1">'05_ развитие муниц.службы'!#REF!</definedName>
    <definedName name="Z_A5DBAE43_8F82_4F4D_9055_3A08EB5E7494_.wvu.Rows" localSheetId="7" hidden="1">'06_ охрана труда'!#REF!</definedName>
    <definedName name="Z_A5DBAE43_8F82_4F4D_9055_3A08EB5E7494_.wvu.Rows" localSheetId="8" hidden="1">'07_равитие жил.сферы'!$23:$37</definedName>
    <definedName name="Z_A5DBAE43_8F82_4F4D_9055_3A08EB5E7494_.wvu.Rows" localSheetId="9" hidden="1">'08_ профилактикаТиЭ'!$24:$38</definedName>
    <definedName name="Z_A5DBAE43_8F82_4F4D_9055_3A08EB5E7494_.wvu.Rows" localSheetId="10" hidden="1">'09_ поддержка СМП'!$12:$19</definedName>
    <definedName name="Z_A5DBAE43_8F82_4F4D_9055_3A08EB5E7494_.wvu.Rows" localSheetId="11" hidden="1">'10_градостроительная деят'!$17:$19</definedName>
    <definedName name="Z_A5DBAE43_8F82_4F4D_9055_3A08EB5E7494_.wvu.Rows" localSheetId="12" hidden="1">'11_проводействие коррупц'!#REF!</definedName>
    <definedName name="Z_A5DBAE43_8F82_4F4D_9055_3A08EB5E7494_.wvu.Rows" localSheetId="13" hidden="1">'12_информирование'!#REF!</definedName>
    <definedName name="Z_A5DBAE43_8F82_4F4D_9055_3A08EB5E7494_.wvu.Rows" localSheetId="14" hidden="1">'13_ управление имуществом'!$24:$30</definedName>
    <definedName name="Z_A5DBAE43_8F82_4F4D_9055_3A08EB5E7494_.wvu.Rows" localSheetId="15" hidden="1">'14_ управление муниц.финансами'!$22:$25</definedName>
    <definedName name="Z_A5DBAE43_8F82_4F4D_9055_3A08EB5E7494_.wvu.Rows" localSheetId="16" hidden="1">'15_транспортная'!#REF!</definedName>
    <definedName name="Z_A5DBAE43_8F82_4F4D_9055_3A08EB5E7494_.wvu.Rows" localSheetId="17" hidden="1">'16_ обеспеч. жильем молодых '!$23:$37</definedName>
    <definedName name="Z_A5DBAE43_8F82_4F4D_9055_3A08EB5E7494_.wvu.Rows" localSheetId="18" hidden="1">'17_ развитие физ.и спорта'!#REF!</definedName>
    <definedName name="Z_A5DBAE43_8F82_4F4D_9055_3A08EB5E7494_.wvu.Rows" localSheetId="19" hidden="1">'18_ отд.полн.в сфере опеки'!#REF!</definedName>
    <definedName name="Z_A5DBAE43_8F82_4F4D_9055_3A08EB5E7494_.wvu.Rows" localSheetId="20" hidden="1">'19_поддержка СОНО'!#REF!</definedName>
    <definedName name="Z_A5DBAE43_8F82_4F4D_9055_3A08EB5E7494_.wvu.Rows" localSheetId="21" hidden="1">'20_ развитие ЖКХ'!$24:$32</definedName>
    <definedName name="Z_A5DBAE43_8F82_4F4D_9055_3A08EB5E7494_.wvu.Rows" localSheetId="22" hidden="1">'22_ ОБЖ'!#REF!</definedName>
    <definedName name="Z_A5DBAE43_8F82_4F4D_9055_3A08EB5E7494_.wvu.Rows" localSheetId="23" hidden="1">'23_ликвид. приспособ.строений'!$23:$37</definedName>
    <definedName name="Z_A5DBAE43_8F82_4F4D_9055_3A08EB5E7494_.wvu.Rows" localSheetId="24" hidden="1">'24_ эколог.без-ть)'!$16:$21</definedName>
    <definedName name="Z_A5DBAE43_8F82_4F4D_9055_3A08EB5E7494_.wvu.Rows" localSheetId="25" hidden="1">'27_ информац.общество'!$18:$28</definedName>
    <definedName name="Z_A5DBAE43_8F82_4F4D_9055_3A08EB5E7494_.wvu.Rows" localSheetId="26" hidden="1">'28_ развитие образования'!#REF!</definedName>
    <definedName name="Z_A5DBAE43_8F82_4F4D_9055_3A08EB5E7494_.wvu.Rows" localSheetId="27" hidden="1">'29_ФСГС'!$11:$14</definedName>
    <definedName name="Z_A5DBAE43_8F82_4F4D_9055_3A08EB5E7494_.wvu.Rows" localSheetId="28" hidden="1">'33_ доступ.маломобильных'!#REF!</definedName>
    <definedName name="Z_A5DBAE43_8F82_4F4D_9055_3A08EB5E7494_.wvu.Rows" localSheetId="29" hidden="1">лист!$23:$37</definedName>
    <definedName name="Z_A5DBAE43_8F82_4F4D_9055_3A08EB5E7494_.wvu.Rows" localSheetId="30" hidden="1">'лист (2)'!$23:$37</definedName>
    <definedName name="Z_A5DBAE43_8F82_4F4D_9055_3A08EB5E7494_.wvu.Rows" localSheetId="1" hidden="1">'непрограммные расходы'!$14:$15</definedName>
    <definedName name="Z_A8921178_F68B_4A7A_94A0_4276A60BD3E0_.wvu.PrintArea" localSheetId="0" hidden="1">СВОД!$A$1:$U$29</definedName>
    <definedName name="Z_A8921178_F68B_4A7A_94A0_4276A60BD3E0_.wvu.PrintTitles" localSheetId="2" hidden="1">'01_молодежная политика'!$8:$11</definedName>
    <definedName name="Z_A8921178_F68B_4A7A_94A0_4276A60BD3E0_.wvu.PrintTitles" localSheetId="3" hidden="1">'02_летний отдых'!$8:$11</definedName>
    <definedName name="Z_A8921178_F68B_4A7A_94A0_4276A60BD3E0_.wvu.PrintTitles" localSheetId="4" hidden="1">'03_УМТО'!$8:$11</definedName>
    <definedName name="Z_A8921178_F68B_4A7A_94A0_4276A60BD3E0_.wvu.PrintTitles" localSheetId="5" hidden="1">'04_ развитие сферы культуры'!$8:$11</definedName>
    <definedName name="Z_A8921178_F68B_4A7A_94A0_4276A60BD3E0_.wvu.PrintTitles" localSheetId="6" hidden="1">'05_ развитие муниц.службы'!$8:$11</definedName>
    <definedName name="Z_A8921178_F68B_4A7A_94A0_4276A60BD3E0_.wvu.PrintTitles" localSheetId="7" hidden="1">'06_ охрана труда'!$8:$11</definedName>
    <definedName name="Z_A8921178_F68B_4A7A_94A0_4276A60BD3E0_.wvu.PrintTitles" localSheetId="8" hidden="1">'07_равитие жил.сферы'!$8:$11</definedName>
    <definedName name="Z_A8921178_F68B_4A7A_94A0_4276A60BD3E0_.wvu.PrintTitles" localSheetId="9" hidden="1">'08_ профилактикаТиЭ'!$8:$11</definedName>
    <definedName name="Z_A8921178_F68B_4A7A_94A0_4276A60BD3E0_.wvu.PrintTitles" localSheetId="10" hidden="1">'09_ поддержка СМП'!$8:$11</definedName>
    <definedName name="Z_A8921178_F68B_4A7A_94A0_4276A60BD3E0_.wvu.PrintTitles" localSheetId="11" hidden="1">'10_градостроительная деят'!$8:$11</definedName>
    <definedName name="Z_A8921178_F68B_4A7A_94A0_4276A60BD3E0_.wvu.PrintTitles" localSheetId="12" hidden="1">'11_проводействие коррупц'!$8:$11</definedName>
    <definedName name="Z_A8921178_F68B_4A7A_94A0_4276A60BD3E0_.wvu.PrintTitles" localSheetId="13" hidden="1">'12_информирование'!$8:$11</definedName>
    <definedName name="Z_A8921178_F68B_4A7A_94A0_4276A60BD3E0_.wvu.PrintTitles" localSheetId="14" hidden="1">'13_ управление имуществом'!$8:$11</definedName>
    <definedName name="Z_A8921178_F68B_4A7A_94A0_4276A60BD3E0_.wvu.PrintTitles" localSheetId="15" hidden="1">'14_ управление муниц.финансами'!$8:$11</definedName>
    <definedName name="Z_A8921178_F68B_4A7A_94A0_4276A60BD3E0_.wvu.PrintTitles" localSheetId="16" hidden="1">'15_транспортная'!$8:$11</definedName>
    <definedName name="Z_A8921178_F68B_4A7A_94A0_4276A60BD3E0_.wvu.PrintTitles" localSheetId="17" hidden="1">'16_ обеспеч. жильем молодых '!$8:$11</definedName>
    <definedName name="Z_A8921178_F68B_4A7A_94A0_4276A60BD3E0_.wvu.PrintTitles" localSheetId="18" hidden="1">'17_ развитие физ.и спорта'!$8:$11</definedName>
    <definedName name="Z_A8921178_F68B_4A7A_94A0_4276A60BD3E0_.wvu.PrintTitles" localSheetId="19" hidden="1">'18_ отд.полн.в сфере опеки'!$8:$11</definedName>
    <definedName name="Z_A8921178_F68B_4A7A_94A0_4276A60BD3E0_.wvu.PrintTitles" localSheetId="20" hidden="1">'19_поддержка СОНО'!$8:$11</definedName>
    <definedName name="Z_A8921178_F68B_4A7A_94A0_4276A60BD3E0_.wvu.PrintTitles" localSheetId="21" hidden="1">'20_ развитие ЖКХ'!$8:$11</definedName>
    <definedName name="Z_A8921178_F68B_4A7A_94A0_4276A60BD3E0_.wvu.PrintTitles" localSheetId="22" hidden="1">'22_ ОБЖ'!$8:$11</definedName>
    <definedName name="Z_A8921178_F68B_4A7A_94A0_4276A60BD3E0_.wvu.PrintTitles" localSheetId="23" hidden="1">'23_ликвид. приспособ.строений'!$8:$11</definedName>
    <definedName name="Z_A8921178_F68B_4A7A_94A0_4276A60BD3E0_.wvu.PrintTitles" localSheetId="24" hidden="1">'24_ эколог.без-ть)'!$8:$11</definedName>
    <definedName name="Z_A8921178_F68B_4A7A_94A0_4276A60BD3E0_.wvu.PrintTitles" localSheetId="25" hidden="1">'27_ информац.общество'!$8:$11</definedName>
    <definedName name="Z_A8921178_F68B_4A7A_94A0_4276A60BD3E0_.wvu.PrintTitles" localSheetId="26" hidden="1">'28_ развитие образования'!$8:$11</definedName>
    <definedName name="Z_A8921178_F68B_4A7A_94A0_4276A60BD3E0_.wvu.PrintTitles" localSheetId="27" hidden="1">'29_ФСГС'!$8:$10</definedName>
    <definedName name="Z_A8921178_F68B_4A7A_94A0_4276A60BD3E0_.wvu.PrintTitles" localSheetId="28" hidden="1">'33_ доступ.маломобильных'!$8:$11</definedName>
    <definedName name="Z_A8921178_F68B_4A7A_94A0_4276A60BD3E0_.wvu.PrintTitles" localSheetId="29" hidden="1">лист!$8:$11</definedName>
    <definedName name="Z_A8921178_F68B_4A7A_94A0_4276A60BD3E0_.wvu.PrintTitles" localSheetId="30" hidden="1">'лист (2)'!$8:$11</definedName>
    <definedName name="Z_A8921178_F68B_4A7A_94A0_4276A60BD3E0_.wvu.PrintTitles" localSheetId="1" hidden="1">'непрограммные расходы'!$8:$11</definedName>
    <definedName name="Z_A8921178_F68B_4A7A_94A0_4276A60BD3E0_.wvu.PrintTitles" localSheetId="0" hidden="1">СВОД!$7:$10</definedName>
    <definedName name="Z_A8921178_F68B_4A7A_94A0_4276A60BD3E0_.wvu.Rows" localSheetId="5" hidden="1">'04_ развитие сферы культуры'!$18:$18</definedName>
    <definedName name="Z_A8921178_F68B_4A7A_94A0_4276A60BD3E0_.wvu.Rows" localSheetId="8" hidden="1">'07_равитие жил.сферы'!$13:$37</definedName>
    <definedName name="Z_A8921178_F68B_4A7A_94A0_4276A60BD3E0_.wvu.Rows" localSheetId="9" hidden="1">'08_ профилактикаТиЭ'!$16:$19,'08_ профилактикаТиЭ'!$34:$37</definedName>
    <definedName name="Z_A8921178_F68B_4A7A_94A0_4276A60BD3E0_.wvu.Rows" localSheetId="17" hidden="1">'16_ обеспеч. жильем молодых '!$13:$37</definedName>
    <definedName name="Z_AB2344E8_B2B4_4FED_B00F_4FC936E289CA_.wvu.PrintTitles" localSheetId="2" hidden="1">'01_молодежная политика'!$8:$11</definedName>
    <definedName name="Z_AB2344E8_B2B4_4FED_B00F_4FC936E289CA_.wvu.PrintTitles" localSheetId="3" hidden="1">'02_летний отдых'!$8:$11</definedName>
    <definedName name="Z_AB2344E8_B2B4_4FED_B00F_4FC936E289CA_.wvu.PrintTitles" localSheetId="4" hidden="1">'03_УМТО'!$8:$11</definedName>
    <definedName name="Z_AB2344E8_B2B4_4FED_B00F_4FC936E289CA_.wvu.PrintTitles" localSheetId="5" hidden="1">'04_ развитие сферы культуры'!$8:$11</definedName>
    <definedName name="Z_AB2344E8_B2B4_4FED_B00F_4FC936E289CA_.wvu.PrintTitles" localSheetId="6" hidden="1">'05_ развитие муниц.службы'!$8:$11</definedName>
    <definedName name="Z_AB2344E8_B2B4_4FED_B00F_4FC936E289CA_.wvu.PrintTitles" localSheetId="7" hidden="1">'06_ охрана труда'!$8:$11</definedName>
    <definedName name="Z_AB2344E8_B2B4_4FED_B00F_4FC936E289CA_.wvu.PrintTitles" localSheetId="8" hidden="1">'07_равитие жил.сферы'!$8:$11</definedName>
    <definedName name="Z_AB2344E8_B2B4_4FED_B00F_4FC936E289CA_.wvu.PrintTitles" localSheetId="9" hidden="1">'08_ профилактикаТиЭ'!$8:$11</definedName>
    <definedName name="Z_AB2344E8_B2B4_4FED_B00F_4FC936E289CA_.wvu.PrintTitles" localSheetId="10" hidden="1">'09_ поддержка СМП'!$8:$11</definedName>
    <definedName name="Z_AB2344E8_B2B4_4FED_B00F_4FC936E289CA_.wvu.PrintTitles" localSheetId="11" hidden="1">'10_градостроительная деят'!$8:$11</definedName>
    <definedName name="Z_AB2344E8_B2B4_4FED_B00F_4FC936E289CA_.wvu.PrintTitles" localSheetId="12" hidden="1">'11_проводействие коррупц'!$8:$11</definedName>
    <definedName name="Z_AB2344E8_B2B4_4FED_B00F_4FC936E289CA_.wvu.PrintTitles" localSheetId="13" hidden="1">'12_информирование'!$8:$11</definedName>
    <definedName name="Z_AB2344E8_B2B4_4FED_B00F_4FC936E289CA_.wvu.PrintTitles" localSheetId="14" hidden="1">'13_ управление имуществом'!$8:$11</definedName>
    <definedName name="Z_AB2344E8_B2B4_4FED_B00F_4FC936E289CA_.wvu.PrintTitles" localSheetId="15" hidden="1">'14_ управление муниц.финансами'!$8:$11</definedName>
    <definedName name="Z_AB2344E8_B2B4_4FED_B00F_4FC936E289CA_.wvu.PrintTitles" localSheetId="16" hidden="1">'15_транспортная'!$8:$11</definedName>
    <definedName name="Z_AB2344E8_B2B4_4FED_B00F_4FC936E289CA_.wvu.PrintTitles" localSheetId="17" hidden="1">'16_ обеспеч. жильем молодых '!$8:$11</definedName>
    <definedName name="Z_AB2344E8_B2B4_4FED_B00F_4FC936E289CA_.wvu.PrintTitles" localSheetId="18" hidden="1">'17_ развитие физ.и спорта'!$8:$11</definedName>
    <definedName name="Z_AB2344E8_B2B4_4FED_B00F_4FC936E289CA_.wvu.PrintTitles" localSheetId="19" hidden="1">'18_ отд.полн.в сфере опеки'!$8:$11</definedName>
    <definedName name="Z_AB2344E8_B2B4_4FED_B00F_4FC936E289CA_.wvu.PrintTitles" localSheetId="20" hidden="1">'19_поддержка СОНО'!$8:$11</definedName>
    <definedName name="Z_AB2344E8_B2B4_4FED_B00F_4FC936E289CA_.wvu.PrintTitles" localSheetId="21" hidden="1">'20_ развитие ЖКХ'!$8:$11</definedName>
    <definedName name="Z_AB2344E8_B2B4_4FED_B00F_4FC936E289CA_.wvu.PrintTitles" localSheetId="22" hidden="1">'22_ ОБЖ'!$8:$11</definedName>
    <definedName name="Z_AB2344E8_B2B4_4FED_B00F_4FC936E289CA_.wvu.PrintTitles" localSheetId="23" hidden="1">'23_ликвид. приспособ.строений'!$8:$11</definedName>
    <definedName name="Z_AB2344E8_B2B4_4FED_B00F_4FC936E289CA_.wvu.PrintTitles" localSheetId="24" hidden="1">'24_ эколог.без-ть)'!$8:$11</definedName>
    <definedName name="Z_AB2344E8_B2B4_4FED_B00F_4FC936E289CA_.wvu.PrintTitles" localSheetId="25" hidden="1">'27_ информац.общество'!$8:$11</definedName>
    <definedName name="Z_AB2344E8_B2B4_4FED_B00F_4FC936E289CA_.wvu.PrintTitles" localSheetId="26" hidden="1">'28_ развитие образования'!$8:$11</definedName>
    <definedName name="Z_AB2344E8_B2B4_4FED_B00F_4FC936E289CA_.wvu.PrintTitles" localSheetId="27" hidden="1">'29_ФСГС'!$8:$10</definedName>
    <definedName name="Z_AB2344E8_B2B4_4FED_B00F_4FC936E289CA_.wvu.PrintTitles" localSheetId="28" hidden="1">'33_ доступ.маломобильных'!$8:$11</definedName>
    <definedName name="Z_AB2344E8_B2B4_4FED_B00F_4FC936E289CA_.wvu.PrintTitles" localSheetId="29" hidden="1">лист!$8:$11</definedName>
    <definedName name="Z_AB2344E8_B2B4_4FED_B00F_4FC936E289CA_.wvu.PrintTitles" localSheetId="30" hidden="1">'лист (2)'!$8:$11</definedName>
    <definedName name="Z_AB2344E8_B2B4_4FED_B00F_4FC936E289CA_.wvu.PrintTitles" localSheetId="1" hidden="1">'непрограммные расходы'!$8:$11</definedName>
    <definedName name="Z_AB2344E8_B2B4_4FED_B00F_4FC936E289CA_.wvu.PrintTitles" localSheetId="0" hidden="1">СВОД!$7:$10</definedName>
    <definedName name="Z_AB2344E8_B2B4_4FED_B00F_4FC936E289CA_.wvu.Rows" localSheetId="2" hidden="1">'01_молодежная политика'!$26:$26</definedName>
    <definedName name="Z_AB2344E8_B2B4_4FED_B00F_4FC936E289CA_.wvu.Rows" localSheetId="3" hidden="1">'02_летний отдых'!$19:$23</definedName>
    <definedName name="Z_AB2344E8_B2B4_4FED_B00F_4FC936E289CA_.wvu.Rows" localSheetId="4" hidden="1">'03_УМТО'!$16:$17</definedName>
    <definedName name="Z_AB2344E8_B2B4_4FED_B00F_4FC936E289CA_.wvu.Rows" localSheetId="5" hidden="1">'04_ развитие сферы культуры'!$23:$33</definedName>
    <definedName name="Z_AB2344E8_B2B4_4FED_B00F_4FC936E289CA_.wvu.Rows" localSheetId="6" hidden="1">'05_ развитие муниц.службы'!#REF!</definedName>
    <definedName name="Z_AB2344E8_B2B4_4FED_B00F_4FC936E289CA_.wvu.Rows" localSheetId="7" hidden="1">'06_ охрана труда'!#REF!</definedName>
    <definedName name="Z_AB2344E8_B2B4_4FED_B00F_4FC936E289CA_.wvu.Rows" localSheetId="8" hidden="1">'07_равитие жил.сферы'!$23:$37</definedName>
    <definedName name="Z_AB2344E8_B2B4_4FED_B00F_4FC936E289CA_.wvu.Rows" localSheetId="9" hidden="1">'08_ профилактикаТиЭ'!$24:$38</definedName>
    <definedName name="Z_AB2344E8_B2B4_4FED_B00F_4FC936E289CA_.wvu.Rows" localSheetId="10" hidden="1">'09_ поддержка СМП'!$12:$19</definedName>
    <definedName name="Z_AB2344E8_B2B4_4FED_B00F_4FC936E289CA_.wvu.Rows" localSheetId="11" hidden="1">'10_градостроительная деят'!$17:$19</definedName>
    <definedName name="Z_AB2344E8_B2B4_4FED_B00F_4FC936E289CA_.wvu.Rows" localSheetId="12" hidden="1">'11_проводействие коррупц'!#REF!</definedName>
    <definedName name="Z_AB2344E8_B2B4_4FED_B00F_4FC936E289CA_.wvu.Rows" localSheetId="13" hidden="1">'12_информирование'!#REF!</definedName>
    <definedName name="Z_AB2344E8_B2B4_4FED_B00F_4FC936E289CA_.wvu.Rows" localSheetId="14" hidden="1">'13_ управление имуществом'!$24:$30</definedName>
    <definedName name="Z_AB2344E8_B2B4_4FED_B00F_4FC936E289CA_.wvu.Rows" localSheetId="15" hidden="1">'14_ управление муниц.финансами'!$22:$25</definedName>
    <definedName name="Z_AB2344E8_B2B4_4FED_B00F_4FC936E289CA_.wvu.Rows" localSheetId="16" hidden="1">'15_транспортная'!#REF!</definedName>
    <definedName name="Z_AB2344E8_B2B4_4FED_B00F_4FC936E289CA_.wvu.Rows" localSheetId="17" hidden="1">'16_ обеспеч. жильем молодых '!$23:$37</definedName>
    <definedName name="Z_AB2344E8_B2B4_4FED_B00F_4FC936E289CA_.wvu.Rows" localSheetId="18" hidden="1">'17_ развитие физ.и спорта'!#REF!</definedName>
    <definedName name="Z_AB2344E8_B2B4_4FED_B00F_4FC936E289CA_.wvu.Rows" localSheetId="19" hidden="1">'18_ отд.полн.в сфере опеки'!#REF!</definedName>
    <definedName name="Z_AB2344E8_B2B4_4FED_B00F_4FC936E289CA_.wvu.Rows" localSheetId="20" hidden="1">'19_поддержка СОНО'!#REF!</definedName>
    <definedName name="Z_AB2344E8_B2B4_4FED_B00F_4FC936E289CA_.wvu.Rows" localSheetId="21" hidden="1">'20_ развитие ЖКХ'!$24:$32</definedName>
    <definedName name="Z_AB2344E8_B2B4_4FED_B00F_4FC936E289CA_.wvu.Rows" localSheetId="22" hidden="1">'22_ ОБЖ'!#REF!</definedName>
    <definedName name="Z_AB2344E8_B2B4_4FED_B00F_4FC936E289CA_.wvu.Rows" localSheetId="23" hidden="1">'23_ликвид. приспособ.строений'!$23:$37</definedName>
    <definedName name="Z_AB2344E8_B2B4_4FED_B00F_4FC936E289CA_.wvu.Rows" localSheetId="24" hidden="1">'24_ эколог.без-ть)'!$16:$21</definedName>
    <definedName name="Z_AB2344E8_B2B4_4FED_B00F_4FC936E289CA_.wvu.Rows" localSheetId="25" hidden="1">'27_ информац.общество'!$18:$28</definedName>
    <definedName name="Z_AB2344E8_B2B4_4FED_B00F_4FC936E289CA_.wvu.Rows" localSheetId="26" hidden="1">'28_ развитие образования'!#REF!</definedName>
    <definedName name="Z_AB2344E8_B2B4_4FED_B00F_4FC936E289CA_.wvu.Rows" localSheetId="27" hidden="1">'29_ФСГС'!$11:$14</definedName>
    <definedName name="Z_AB2344E8_B2B4_4FED_B00F_4FC936E289CA_.wvu.Rows" localSheetId="28" hidden="1">'33_ доступ.маломобильных'!#REF!</definedName>
    <definedName name="Z_AB2344E8_B2B4_4FED_B00F_4FC936E289CA_.wvu.Rows" localSheetId="29" hidden="1">лист!$23:$37</definedName>
    <definedName name="Z_AB2344E8_B2B4_4FED_B00F_4FC936E289CA_.wvu.Rows" localSheetId="30" hidden="1">'лист (2)'!$23:$37</definedName>
    <definedName name="Z_AB2344E8_B2B4_4FED_B00F_4FC936E289CA_.wvu.Rows" localSheetId="1" hidden="1">'непрограммные расходы'!$14:$15</definedName>
    <definedName name="Z_CCAC52F4_1AE6_4B0C_B39F_86F6AB8E32E1_.wvu.PrintTitles" localSheetId="2" hidden="1">'01_молодежная политика'!$8:$11</definedName>
    <definedName name="Z_CCAC52F4_1AE6_4B0C_B39F_86F6AB8E32E1_.wvu.PrintTitles" localSheetId="3" hidden="1">'02_летний отдых'!$8:$11</definedName>
    <definedName name="Z_CCAC52F4_1AE6_4B0C_B39F_86F6AB8E32E1_.wvu.PrintTitles" localSheetId="4" hidden="1">'03_УМТО'!$8:$11</definedName>
    <definedName name="Z_CCAC52F4_1AE6_4B0C_B39F_86F6AB8E32E1_.wvu.PrintTitles" localSheetId="5" hidden="1">'04_ развитие сферы культуры'!$8:$11</definedName>
    <definedName name="Z_CCAC52F4_1AE6_4B0C_B39F_86F6AB8E32E1_.wvu.PrintTitles" localSheetId="6" hidden="1">'05_ развитие муниц.службы'!$8:$11</definedName>
    <definedName name="Z_CCAC52F4_1AE6_4B0C_B39F_86F6AB8E32E1_.wvu.PrintTitles" localSheetId="7" hidden="1">'06_ охрана труда'!$8:$11</definedName>
    <definedName name="Z_CCAC52F4_1AE6_4B0C_B39F_86F6AB8E32E1_.wvu.PrintTitles" localSheetId="8" hidden="1">'07_равитие жил.сферы'!$8:$11</definedName>
    <definedName name="Z_CCAC52F4_1AE6_4B0C_B39F_86F6AB8E32E1_.wvu.PrintTitles" localSheetId="9" hidden="1">'08_ профилактикаТиЭ'!$8:$11</definedName>
    <definedName name="Z_CCAC52F4_1AE6_4B0C_B39F_86F6AB8E32E1_.wvu.PrintTitles" localSheetId="10" hidden="1">'09_ поддержка СМП'!$8:$11</definedName>
    <definedName name="Z_CCAC52F4_1AE6_4B0C_B39F_86F6AB8E32E1_.wvu.PrintTitles" localSheetId="11" hidden="1">'10_градостроительная деят'!$8:$11</definedName>
    <definedName name="Z_CCAC52F4_1AE6_4B0C_B39F_86F6AB8E32E1_.wvu.PrintTitles" localSheetId="12" hidden="1">'11_проводействие коррупц'!$8:$11</definedName>
    <definedName name="Z_CCAC52F4_1AE6_4B0C_B39F_86F6AB8E32E1_.wvu.PrintTitles" localSheetId="13" hidden="1">'12_информирование'!$8:$11</definedName>
    <definedName name="Z_CCAC52F4_1AE6_4B0C_B39F_86F6AB8E32E1_.wvu.PrintTitles" localSheetId="14" hidden="1">'13_ управление имуществом'!$8:$11</definedName>
    <definedName name="Z_CCAC52F4_1AE6_4B0C_B39F_86F6AB8E32E1_.wvu.PrintTitles" localSheetId="15" hidden="1">'14_ управление муниц.финансами'!$8:$11</definedName>
    <definedName name="Z_CCAC52F4_1AE6_4B0C_B39F_86F6AB8E32E1_.wvu.PrintTitles" localSheetId="16" hidden="1">'15_транспортная'!$8:$11</definedName>
    <definedName name="Z_CCAC52F4_1AE6_4B0C_B39F_86F6AB8E32E1_.wvu.PrintTitles" localSheetId="17" hidden="1">'16_ обеспеч. жильем молодых '!$8:$11</definedName>
    <definedName name="Z_CCAC52F4_1AE6_4B0C_B39F_86F6AB8E32E1_.wvu.PrintTitles" localSheetId="18" hidden="1">'17_ развитие физ.и спорта'!$8:$11</definedName>
    <definedName name="Z_CCAC52F4_1AE6_4B0C_B39F_86F6AB8E32E1_.wvu.PrintTitles" localSheetId="19" hidden="1">'18_ отд.полн.в сфере опеки'!$8:$11</definedName>
    <definedName name="Z_CCAC52F4_1AE6_4B0C_B39F_86F6AB8E32E1_.wvu.PrintTitles" localSheetId="20" hidden="1">'19_поддержка СОНО'!$8:$11</definedName>
    <definedName name="Z_CCAC52F4_1AE6_4B0C_B39F_86F6AB8E32E1_.wvu.PrintTitles" localSheetId="21" hidden="1">'20_ развитие ЖКХ'!$8:$11</definedName>
    <definedName name="Z_CCAC52F4_1AE6_4B0C_B39F_86F6AB8E32E1_.wvu.PrintTitles" localSheetId="22" hidden="1">'22_ ОБЖ'!$8:$11</definedName>
    <definedName name="Z_CCAC52F4_1AE6_4B0C_B39F_86F6AB8E32E1_.wvu.PrintTitles" localSheetId="23" hidden="1">'23_ликвид. приспособ.строений'!$8:$11</definedName>
    <definedName name="Z_CCAC52F4_1AE6_4B0C_B39F_86F6AB8E32E1_.wvu.PrintTitles" localSheetId="24" hidden="1">'24_ эколог.без-ть)'!$8:$11</definedName>
    <definedName name="Z_CCAC52F4_1AE6_4B0C_B39F_86F6AB8E32E1_.wvu.PrintTitles" localSheetId="25" hidden="1">'27_ информац.общество'!$8:$11</definedName>
    <definedName name="Z_CCAC52F4_1AE6_4B0C_B39F_86F6AB8E32E1_.wvu.PrintTitles" localSheetId="26" hidden="1">'28_ развитие образования'!$8:$11</definedName>
    <definedName name="Z_CCAC52F4_1AE6_4B0C_B39F_86F6AB8E32E1_.wvu.PrintTitles" localSheetId="27" hidden="1">'29_ФСГС'!$8:$10</definedName>
    <definedName name="Z_CCAC52F4_1AE6_4B0C_B39F_86F6AB8E32E1_.wvu.PrintTitles" localSheetId="28" hidden="1">'33_ доступ.маломобильных'!$8:$11</definedName>
    <definedName name="Z_CCAC52F4_1AE6_4B0C_B39F_86F6AB8E32E1_.wvu.PrintTitles" localSheetId="29" hidden="1">лист!$8:$11</definedName>
    <definedName name="Z_CCAC52F4_1AE6_4B0C_B39F_86F6AB8E32E1_.wvu.PrintTitles" localSheetId="30" hidden="1">'лист (2)'!$8:$11</definedName>
    <definedName name="Z_CCAC52F4_1AE6_4B0C_B39F_86F6AB8E32E1_.wvu.PrintTitles" localSheetId="1" hidden="1">'непрограммные расходы'!$8:$11</definedName>
    <definedName name="Z_CCAC52F4_1AE6_4B0C_B39F_86F6AB8E32E1_.wvu.Rows" localSheetId="5" hidden="1">'04_ развитие сферы культуры'!$18:$18</definedName>
    <definedName name="Z_CCAC52F4_1AE6_4B0C_B39F_86F6AB8E32E1_.wvu.Rows" localSheetId="8" hidden="1">'07_равитие жил.сферы'!$13:$37</definedName>
    <definedName name="Z_CCAC52F4_1AE6_4B0C_B39F_86F6AB8E32E1_.wvu.Rows" localSheetId="9" hidden="1">'08_ профилактикаТиЭ'!$16:$19,'08_ профилактикаТиЭ'!$34:$37</definedName>
    <definedName name="Z_CCAC52F4_1AE6_4B0C_B39F_86F6AB8E32E1_.wvu.Rows" localSheetId="17" hidden="1">'16_ обеспеч. жильем молодых '!$13:$37</definedName>
    <definedName name="Z_D5197AC6_1A58_48A0_AB21_B9E0EBB01937_.wvu.PrintTitles" localSheetId="2" hidden="1">'01_молодежная политика'!$8:$11</definedName>
    <definedName name="Z_D5197AC6_1A58_48A0_AB21_B9E0EBB01937_.wvu.PrintTitles" localSheetId="3" hidden="1">'02_летний отдых'!$8:$11</definedName>
    <definedName name="Z_D5197AC6_1A58_48A0_AB21_B9E0EBB01937_.wvu.PrintTitles" localSheetId="4" hidden="1">'03_УМТО'!$8:$11</definedName>
    <definedName name="Z_D5197AC6_1A58_48A0_AB21_B9E0EBB01937_.wvu.PrintTitles" localSheetId="5" hidden="1">'04_ развитие сферы культуры'!$8:$11</definedName>
    <definedName name="Z_D5197AC6_1A58_48A0_AB21_B9E0EBB01937_.wvu.PrintTitles" localSheetId="6" hidden="1">'05_ развитие муниц.службы'!$8:$11</definedName>
    <definedName name="Z_D5197AC6_1A58_48A0_AB21_B9E0EBB01937_.wvu.PrintTitles" localSheetId="7" hidden="1">'06_ охрана труда'!$8:$11</definedName>
    <definedName name="Z_D5197AC6_1A58_48A0_AB21_B9E0EBB01937_.wvu.PrintTitles" localSheetId="8" hidden="1">'07_равитие жил.сферы'!$8:$11</definedName>
    <definedName name="Z_D5197AC6_1A58_48A0_AB21_B9E0EBB01937_.wvu.PrintTitles" localSheetId="9" hidden="1">'08_ профилактикаТиЭ'!$8:$11</definedName>
    <definedName name="Z_D5197AC6_1A58_48A0_AB21_B9E0EBB01937_.wvu.PrintTitles" localSheetId="10" hidden="1">'09_ поддержка СМП'!$8:$11</definedName>
    <definedName name="Z_D5197AC6_1A58_48A0_AB21_B9E0EBB01937_.wvu.PrintTitles" localSheetId="11" hidden="1">'10_градостроительная деят'!$8:$11</definedName>
    <definedName name="Z_D5197AC6_1A58_48A0_AB21_B9E0EBB01937_.wvu.PrintTitles" localSheetId="12" hidden="1">'11_проводействие коррупц'!$8:$11</definedName>
    <definedName name="Z_D5197AC6_1A58_48A0_AB21_B9E0EBB01937_.wvu.PrintTitles" localSheetId="13" hidden="1">'12_информирование'!$8:$11</definedName>
    <definedName name="Z_D5197AC6_1A58_48A0_AB21_B9E0EBB01937_.wvu.PrintTitles" localSheetId="14" hidden="1">'13_ управление имуществом'!$8:$11</definedName>
    <definedName name="Z_D5197AC6_1A58_48A0_AB21_B9E0EBB01937_.wvu.PrintTitles" localSheetId="15" hidden="1">'14_ управление муниц.финансами'!$8:$11</definedName>
    <definedName name="Z_D5197AC6_1A58_48A0_AB21_B9E0EBB01937_.wvu.PrintTitles" localSheetId="16" hidden="1">'15_транспортная'!$8:$11</definedName>
    <definedName name="Z_D5197AC6_1A58_48A0_AB21_B9E0EBB01937_.wvu.PrintTitles" localSheetId="17" hidden="1">'16_ обеспеч. жильем молодых '!$8:$11</definedName>
    <definedName name="Z_D5197AC6_1A58_48A0_AB21_B9E0EBB01937_.wvu.PrintTitles" localSheetId="18" hidden="1">'17_ развитие физ.и спорта'!$8:$11</definedName>
    <definedName name="Z_D5197AC6_1A58_48A0_AB21_B9E0EBB01937_.wvu.PrintTitles" localSheetId="19" hidden="1">'18_ отд.полн.в сфере опеки'!$8:$11</definedName>
    <definedName name="Z_D5197AC6_1A58_48A0_AB21_B9E0EBB01937_.wvu.PrintTitles" localSheetId="20" hidden="1">'19_поддержка СОНО'!$8:$11</definedName>
    <definedName name="Z_D5197AC6_1A58_48A0_AB21_B9E0EBB01937_.wvu.PrintTitles" localSheetId="21" hidden="1">'20_ развитие ЖКХ'!$8:$11</definedName>
    <definedName name="Z_D5197AC6_1A58_48A0_AB21_B9E0EBB01937_.wvu.PrintTitles" localSheetId="22" hidden="1">'22_ ОБЖ'!$8:$11</definedName>
    <definedName name="Z_D5197AC6_1A58_48A0_AB21_B9E0EBB01937_.wvu.PrintTitles" localSheetId="23" hidden="1">'23_ликвид. приспособ.строений'!$8:$11</definedName>
    <definedName name="Z_D5197AC6_1A58_48A0_AB21_B9E0EBB01937_.wvu.PrintTitles" localSheetId="24" hidden="1">'24_ эколог.без-ть)'!$8:$11</definedName>
    <definedName name="Z_D5197AC6_1A58_48A0_AB21_B9E0EBB01937_.wvu.PrintTitles" localSheetId="25" hidden="1">'27_ информац.общество'!$8:$11</definedName>
    <definedName name="Z_D5197AC6_1A58_48A0_AB21_B9E0EBB01937_.wvu.PrintTitles" localSheetId="26" hidden="1">'28_ развитие образования'!$8:$11</definedName>
    <definedName name="Z_D5197AC6_1A58_48A0_AB21_B9E0EBB01937_.wvu.PrintTitles" localSheetId="27" hidden="1">'29_ФСГС'!$8:$10</definedName>
    <definedName name="Z_D5197AC6_1A58_48A0_AB21_B9E0EBB01937_.wvu.PrintTitles" localSheetId="28" hidden="1">'33_ доступ.маломобильных'!$8:$11</definedName>
    <definedName name="Z_D5197AC6_1A58_48A0_AB21_B9E0EBB01937_.wvu.PrintTitles" localSheetId="29" hidden="1">лист!$8:$11</definedName>
    <definedName name="Z_D5197AC6_1A58_48A0_AB21_B9E0EBB01937_.wvu.PrintTitles" localSheetId="30" hidden="1">'лист (2)'!$8:$11</definedName>
    <definedName name="Z_D5197AC6_1A58_48A0_AB21_B9E0EBB01937_.wvu.PrintTitles" localSheetId="1" hidden="1">'непрограммные расходы'!$8:$11</definedName>
    <definedName name="Z_D5197AC6_1A58_48A0_AB21_B9E0EBB01937_.wvu.Rows" localSheetId="3" hidden="1">'02_летний отдых'!$19:$23</definedName>
    <definedName name="Z_D5197AC6_1A58_48A0_AB21_B9E0EBB01937_.wvu.Rows" localSheetId="5" hidden="1">'04_ развитие сферы культуры'!$18:$18</definedName>
    <definedName name="Z_D5197AC6_1A58_48A0_AB21_B9E0EBB01937_.wvu.Rows" localSheetId="8" hidden="1">'07_равитие жил.сферы'!$13:$37</definedName>
    <definedName name="Z_D5197AC6_1A58_48A0_AB21_B9E0EBB01937_.wvu.Rows" localSheetId="9" hidden="1">'08_ профилактикаТиЭ'!$16:$19,'08_ профилактикаТиЭ'!$34:$37</definedName>
    <definedName name="Z_D5197AC6_1A58_48A0_AB21_B9E0EBB01937_.wvu.Rows" localSheetId="12" hidden="1">'11_проводействие коррупц'!$19:$24</definedName>
    <definedName name="Z_D5197AC6_1A58_48A0_AB21_B9E0EBB01937_.wvu.Rows" localSheetId="17" hidden="1">'16_ обеспеч. жильем молодых '!$13:$37</definedName>
    <definedName name="Z_D8A19DD2_30A5_49C4_B365_269F2931D330_.wvu.PrintTitles" localSheetId="2" hidden="1">'01_молодежная политика'!$8:$11</definedName>
    <definedName name="Z_D8A19DD2_30A5_49C4_B365_269F2931D330_.wvu.PrintTitles" localSheetId="3" hidden="1">'02_летний отдых'!$8:$11</definedName>
    <definedName name="Z_D8A19DD2_30A5_49C4_B365_269F2931D330_.wvu.PrintTitles" localSheetId="4" hidden="1">'03_УМТО'!$8:$11</definedName>
    <definedName name="Z_D8A19DD2_30A5_49C4_B365_269F2931D330_.wvu.PrintTitles" localSheetId="5" hidden="1">'04_ развитие сферы культуры'!$8:$11</definedName>
    <definedName name="Z_D8A19DD2_30A5_49C4_B365_269F2931D330_.wvu.PrintTitles" localSheetId="6" hidden="1">'05_ развитие муниц.службы'!$8:$11</definedName>
    <definedName name="Z_D8A19DD2_30A5_49C4_B365_269F2931D330_.wvu.PrintTitles" localSheetId="7" hidden="1">'06_ охрана труда'!$8:$11</definedName>
    <definedName name="Z_D8A19DD2_30A5_49C4_B365_269F2931D330_.wvu.PrintTitles" localSheetId="8" hidden="1">'07_равитие жил.сферы'!$8:$11</definedName>
    <definedName name="Z_D8A19DD2_30A5_49C4_B365_269F2931D330_.wvu.PrintTitles" localSheetId="9" hidden="1">'08_ профилактикаТиЭ'!$8:$11</definedName>
    <definedName name="Z_D8A19DD2_30A5_49C4_B365_269F2931D330_.wvu.PrintTitles" localSheetId="10" hidden="1">'09_ поддержка СМП'!$8:$11</definedName>
    <definedName name="Z_D8A19DD2_30A5_49C4_B365_269F2931D330_.wvu.PrintTitles" localSheetId="11" hidden="1">'10_градостроительная деят'!$8:$11</definedName>
    <definedName name="Z_D8A19DD2_30A5_49C4_B365_269F2931D330_.wvu.PrintTitles" localSheetId="12" hidden="1">'11_проводействие коррупц'!$8:$11</definedName>
    <definedName name="Z_D8A19DD2_30A5_49C4_B365_269F2931D330_.wvu.PrintTitles" localSheetId="13" hidden="1">'12_информирование'!$8:$11</definedName>
    <definedName name="Z_D8A19DD2_30A5_49C4_B365_269F2931D330_.wvu.PrintTitles" localSheetId="14" hidden="1">'13_ управление имуществом'!$8:$11</definedName>
    <definedName name="Z_D8A19DD2_30A5_49C4_B365_269F2931D330_.wvu.PrintTitles" localSheetId="15" hidden="1">'14_ управление муниц.финансами'!$8:$11</definedName>
    <definedName name="Z_D8A19DD2_30A5_49C4_B365_269F2931D330_.wvu.PrintTitles" localSheetId="16" hidden="1">'15_транспортная'!$8:$11</definedName>
    <definedName name="Z_D8A19DD2_30A5_49C4_B365_269F2931D330_.wvu.PrintTitles" localSheetId="17" hidden="1">'16_ обеспеч. жильем молодых '!$8:$11</definedName>
    <definedName name="Z_D8A19DD2_30A5_49C4_B365_269F2931D330_.wvu.PrintTitles" localSheetId="18" hidden="1">'17_ развитие физ.и спорта'!$8:$11</definedName>
    <definedName name="Z_D8A19DD2_30A5_49C4_B365_269F2931D330_.wvu.PrintTitles" localSheetId="19" hidden="1">'18_ отд.полн.в сфере опеки'!$8:$11</definedName>
    <definedName name="Z_D8A19DD2_30A5_49C4_B365_269F2931D330_.wvu.PrintTitles" localSheetId="20" hidden="1">'19_поддержка СОНО'!$8:$11</definedName>
    <definedName name="Z_D8A19DD2_30A5_49C4_B365_269F2931D330_.wvu.PrintTitles" localSheetId="21" hidden="1">'20_ развитие ЖКХ'!$8:$11</definedName>
    <definedName name="Z_D8A19DD2_30A5_49C4_B365_269F2931D330_.wvu.PrintTitles" localSheetId="22" hidden="1">'22_ ОБЖ'!$8:$11</definedName>
    <definedName name="Z_D8A19DD2_30A5_49C4_B365_269F2931D330_.wvu.PrintTitles" localSheetId="23" hidden="1">'23_ликвид. приспособ.строений'!$8:$11</definedName>
    <definedName name="Z_D8A19DD2_30A5_49C4_B365_269F2931D330_.wvu.PrintTitles" localSheetId="24" hidden="1">'24_ эколог.без-ть)'!$8:$11</definedName>
    <definedName name="Z_D8A19DD2_30A5_49C4_B365_269F2931D330_.wvu.PrintTitles" localSheetId="25" hidden="1">'27_ информац.общество'!$8:$11</definedName>
    <definedName name="Z_D8A19DD2_30A5_49C4_B365_269F2931D330_.wvu.PrintTitles" localSheetId="26" hidden="1">'28_ развитие образования'!$8:$11</definedName>
    <definedName name="Z_D8A19DD2_30A5_49C4_B365_269F2931D330_.wvu.PrintTitles" localSheetId="27" hidden="1">'29_ФСГС'!$8:$10</definedName>
    <definedName name="Z_D8A19DD2_30A5_49C4_B365_269F2931D330_.wvu.PrintTitles" localSheetId="28" hidden="1">'33_ доступ.маломобильных'!$8:$11</definedName>
    <definedName name="Z_D8A19DD2_30A5_49C4_B365_269F2931D330_.wvu.PrintTitles" localSheetId="29" hidden="1">лист!$8:$11</definedName>
    <definedName name="Z_D8A19DD2_30A5_49C4_B365_269F2931D330_.wvu.PrintTitles" localSheetId="30" hidden="1">'лист (2)'!$8:$11</definedName>
    <definedName name="Z_D8A19DD2_30A5_49C4_B365_269F2931D330_.wvu.PrintTitles" localSheetId="1" hidden="1">'непрограммные расходы'!$8:$11</definedName>
    <definedName name="Z_D8A19DD2_30A5_49C4_B365_269F2931D330_.wvu.Rows" localSheetId="3" hidden="1">'02_летний отдых'!$19:$23</definedName>
    <definedName name="Z_D8A19DD2_30A5_49C4_B365_269F2931D330_.wvu.Rows" localSheetId="5" hidden="1">'04_ развитие сферы культуры'!$18:$18</definedName>
    <definedName name="Z_D8A19DD2_30A5_49C4_B365_269F2931D330_.wvu.Rows" localSheetId="8" hidden="1">'07_равитие жил.сферы'!$13:$37</definedName>
    <definedName name="Z_D8A19DD2_30A5_49C4_B365_269F2931D330_.wvu.Rows" localSheetId="9" hidden="1">'08_ профилактикаТиЭ'!$16:$19,'08_ профилактикаТиЭ'!$34:$37</definedName>
    <definedName name="Z_D8A19DD2_30A5_49C4_B365_269F2931D330_.wvu.Rows" localSheetId="12" hidden="1">'11_проводействие коррупц'!$19:$24</definedName>
    <definedName name="Z_D8A19DD2_30A5_49C4_B365_269F2931D330_.wvu.Rows" localSheetId="17" hidden="1">'16_ обеспеч. жильем молодых '!$13:$37</definedName>
    <definedName name="Z_E8D276FA_C068_4D2C_854E_6CC3B576A81F_.wvu.PrintTitles" localSheetId="2" hidden="1">'01_молодежная политика'!$8:$11</definedName>
    <definedName name="Z_E8D276FA_C068_4D2C_854E_6CC3B576A81F_.wvu.PrintTitles" localSheetId="3" hidden="1">'02_летний отдых'!$8:$11</definedName>
    <definedName name="Z_E8D276FA_C068_4D2C_854E_6CC3B576A81F_.wvu.PrintTitles" localSheetId="4" hidden="1">'03_УМТО'!$8:$11</definedName>
    <definedName name="Z_E8D276FA_C068_4D2C_854E_6CC3B576A81F_.wvu.PrintTitles" localSheetId="5" hidden="1">'04_ развитие сферы культуры'!$8:$11</definedName>
    <definedName name="Z_E8D276FA_C068_4D2C_854E_6CC3B576A81F_.wvu.PrintTitles" localSheetId="6" hidden="1">'05_ развитие муниц.службы'!$8:$11</definedName>
    <definedName name="Z_E8D276FA_C068_4D2C_854E_6CC3B576A81F_.wvu.PrintTitles" localSheetId="7" hidden="1">'06_ охрана труда'!$8:$11</definedName>
    <definedName name="Z_E8D276FA_C068_4D2C_854E_6CC3B576A81F_.wvu.PrintTitles" localSheetId="8" hidden="1">'07_равитие жил.сферы'!$8:$11</definedName>
    <definedName name="Z_E8D276FA_C068_4D2C_854E_6CC3B576A81F_.wvu.PrintTitles" localSheetId="9" hidden="1">'08_ профилактикаТиЭ'!$8:$11</definedName>
    <definedName name="Z_E8D276FA_C068_4D2C_854E_6CC3B576A81F_.wvu.PrintTitles" localSheetId="10" hidden="1">'09_ поддержка СМП'!$8:$11</definedName>
    <definedName name="Z_E8D276FA_C068_4D2C_854E_6CC3B576A81F_.wvu.PrintTitles" localSheetId="11" hidden="1">'10_градостроительная деят'!$8:$11</definedName>
    <definedName name="Z_E8D276FA_C068_4D2C_854E_6CC3B576A81F_.wvu.PrintTitles" localSheetId="12" hidden="1">'11_проводействие коррупц'!$8:$11</definedName>
    <definedName name="Z_E8D276FA_C068_4D2C_854E_6CC3B576A81F_.wvu.PrintTitles" localSheetId="13" hidden="1">'12_информирование'!$8:$11</definedName>
    <definedName name="Z_E8D276FA_C068_4D2C_854E_6CC3B576A81F_.wvu.PrintTitles" localSheetId="14" hidden="1">'13_ управление имуществом'!$8:$11</definedName>
    <definedName name="Z_E8D276FA_C068_4D2C_854E_6CC3B576A81F_.wvu.PrintTitles" localSheetId="15" hidden="1">'14_ управление муниц.финансами'!$8:$11</definedName>
    <definedName name="Z_E8D276FA_C068_4D2C_854E_6CC3B576A81F_.wvu.PrintTitles" localSheetId="16" hidden="1">'15_транспортная'!$8:$11</definedName>
    <definedName name="Z_E8D276FA_C068_4D2C_854E_6CC3B576A81F_.wvu.PrintTitles" localSheetId="17" hidden="1">'16_ обеспеч. жильем молодых '!$8:$11</definedName>
    <definedName name="Z_E8D276FA_C068_4D2C_854E_6CC3B576A81F_.wvu.PrintTitles" localSheetId="18" hidden="1">'17_ развитие физ.и спорта'!$8:$11</definedName>
    <definedName name="Z_E8D276FA_C068_4D2C_854E_6CC3B576A81F_.wvu.PrintTitles" localSheetId="19" hidden="1">'18_ отд.полн.в сфере опеки'!$8:$11</definedName>
    <definedName name="Z_E8D276FA_C068_4D2C_854E_6CC3B576A81F_.wvu.PrintTitles" localSheetId="20" hidden="1">'19_поддержка СОНО'!$8:$11</definedName>
    <definedName name="Z_E8D276FA_C068_4D2C_854E_6CC3B576A81F_.wvu.PrintTitles" localSheetId="21" hidden="1">'20_ развитие ЖКХ'!$8:$11</definedName>
    <definedName name="Z_E8D276FA_C068_4D2C_854E_6CC3B576A81F_.wvu.PrintTitles" localSheetId="22" hidden="1">'22_ ОБЖ'!$8:$11</definedName>
    <definedName name="Z_E8D276FA_C068_4D2C_854E_6CC3B576A81F_.wvu.PrintTitles" localSheetId="23" hidden="1">'23_ликвид. приспособ.строений'!$8:$11</definedName>
    <definedName name="Z_E8D276FA_C068_4D2C_854E_6CC3B576A81F_.wvu.PrintTitles" localSheetId="24" hidden="1">'24_ эколог.без-ть)'!$8:$11</definedName>
    <definedName name="Z_E8D276FA_C068_4D2C_854E_6CC3B576A81F_.wvu.PrintTitles" localSheetId="25" hidden="1">'27_ информац.общество'!$8:$11</definedName>
    <definedName name="Z_E8D276FA_C068_4D2C_854E_6CC3B576A81F_.wvu.PrintTitles" localSheetId="26" hidden="1">'28_ развитие образования'!$8:$11</definedName>
    <definedName name="Z_E8D276FA_C068_4D2C_854E_6CC3B576A81F_.wvu.PrintTitles" localSheetId="27" hidden="1">'29_ФСГС'!$8:$10</definedName>
    <definedName name="Z_E8D276FA_C068_4D2C_854E_6CC3B576A81F_.wvu.PrintTitles" localSheetId="28" hidden="1">'33_ доступ.маломобильных'!$8:$11</definedName>
    <definedName name="Z_E8D276FA_C068_4D2C_854E_6CC3B576A81F_.wvu.PrintTitles" localSheetId="29" hidden="1">лист!$8:$11</definedName>
    <definedName name="Z_E8D276FA_C068_4D2C_854E_6CC3B576A81F_.wvu.PrintTitles" localSheetId="30" hidden="1">'лист (2)'!$8:$11</definedName>
    <definedName name="Z_E8D276FA_C068_4D2C_854E_6CC3B576A81F_.wvu.PrintTitles" localSheetId="1" hidden="1">'непрограммные расходы'!$8:$11</definedName>
    <definedName name="Z_E8D276FA_C068_4D2C_854E_6CC3B576A81F_.wvu.Rows" localSheetId="2" hidden="1">'01_молодежная политика'!$26:$26</definedName>
    <definedName name="Z_E8D276FA_C068_4D2C_854E_6CC3B576A81F_.wvu.Rows" localSheetId="3" hidden="1">'02_летний отдых'!$19:$23</definedName>
    <definedName name="Z_E8D276FA_C068_4D2C_854E_6CC3B576A81F_.wvu.Rows" localSheetId="4" hidden="1">'03_УМТО'!$16:$17</definedName>
    <definedName name="Z_E8D276FA_C068_4D2C_854E_6CC3B576A81F_.wvu.Rows" localSheetId="5" hidden="1">'04_ развитие сферы культуры'!$23:$33</definedName>
    <definedName name="Z_E8D276FA_C068_4D2C_854E_6CC3B576A81F_.wvu.Rows" localSheetId="6" hidden="1">'05_ развитие муниц.службы'!#REF!</definedName>
    <definedName name="Z_E8D276FA_C068_4D2C_854E_6CC3B576A81F_.wvu.Rows" localSheetId="7" hidden="1">'06_ охрана труда'!#REF!</definedName>
    <definedName name="Z_E8D276FA_C068_4D2C_854E_6CC3B576A81F_.wvu.Rows" localSheetId="8" hidden="1">'07_равитие жил.сферы'!$23:$37</definedName>
    <definedName name="Z_E8D276FA_C068_4D2C_854E_6CC3B576A81F_.wvu.Rows" localSheetId="9" hidden="1">'08_ профилактикаТиЭ'!$24:$38</definedName>
    <definedName name="Z_E8D276FA_C068_4D2C_854E_6CC3B576A81F_.wvu.Rows" localSheetId="10" hidden="1">'09_ поддержка СМП'!$12:$19</definedName>
    <definedName name="Z_E8D276FA_C068_4D2C_854E_6CC3B576A81F_.wvu.Rows" localSheetId="11" hidden="1">'10_градостроительная деят'!$17:$19</definedName>
    <definedName name="Z_E8D276FA_C068_4D2C_854E_6CC3B576A81F_.wvu.Rows" localSheetId="12" hidden="1">'11_проводействие коррупц'!#REF!</definedName>
    <definedName name="Z_E8D276FA_C068_4D2C_854E_6CC3B576A81F_.wvu.Rows" localSheetId="13" hidden="1">'12_информирование'!#REF!</definedName>
    <definedName name="Z_E8D276FA_C068_4D2C_854E_6CC3B576A81F_.wvu.Rows" localSheetId="14" hidden="1">'13_ управление имуществом'!$24:$30</definedName>
    <definedName name="Z_E8D276FA_C068_4D2C_854E_6CC3B576A81F_.wvu.Rows" localSheetId="15" hidden="1">'14_ управление муниц.финансами'!$22:$25</definedName>
    <definedName name="Z_E8D276FA_C068_4D2C_854E_6CC3B576A81F_.wvu.Rows" localSheetId="16" hidden="1">'15_транспортная'!#REF!</definedName>
    <definedName name="Z_E8D276FA_C068_4D2C_854E_6CC3B576A81F_.wvu.Rows" localSheetId="17" hidden="1">'16_ обеспеч. жильем молодых '!$23:$37</definedName>
    <definedName name="Z_E8D276FA_C068_4D2C_854E_6CC3B576A81F_.wvu.Rows" localSheetId="18" hidden="1">'17_ развитие физ.и спорта'!#REF!</definedName>
    <definedName name="Z_E8D276FA_C068_4D2C_854E_6CC3B576A81F_.wvu.Rows" localSheetId="19" hidden="1">'18_ отд.полн.в сфере опеки'!#REF!</definedName>
    <definedName name="Z_E8D276FA_C068_4D2C_854E_6CC3B576A81F_.wvu.Rows" localSheetId="20" hidden="1">'19_поддержка СОНО'!#REF!</definedName>
    <definedName name="Z_E8D276FA_C068_4D2C_854E_6CC3B576A81F_.wvu.Rows" localSheetId="21" hidden="1">'20_ развитие ЖКХ'!$24:$32</definedName>
    <definedName name="Z_E8D276FA_C068_4D2C_854E_6CC3B576A81F_.wvu.Rows" localSheetId="22" hidden="1">'22_ ОБЖ'!#REF!</definedName>
    <definedName name="Z_E8D276FA_C068_4D2C_854E_6CC3B576A81F_.wvu.Rows" localSheetId="23" hidden="1">'23_ликвид. приспособ.строений'!$23:$37</definedName>
    <definedName name="Z_E8D276FA_C068_4D2C_854E_6CC3B576A81F_.wvu.Rows" localSheetId="24" hidden="1">'24_ эколог.без-ть)'!$16:$21</definedName>
    <definedName name="Z_E8D276FA_C068_4D2C_854E_6CC3B576A81F_.wvu.Rows" localSheetId="25" hidden="1">'27_ информац.общество'!$18:$28</definedName>
    <definedName name="Z_E8D276FA_C068_4D2C_854E_6CC3B576A81F_.wvu.Rows" localSheetId="26" hidden="1">'28_ развитие образования'!#REF!</definedName>
    <definedName name="Z_E8D276FA_C068_4D2C_854E_6CC3B576A81F_.wvu.Rows" localSheetId="27" hidden="1">'29_ФСГС'!$11:$14</definedName>
    <definedName name="Z_E8D276FA_C068_4D2C_854E_6CC3B576A81F_.wvu.Rows" localSheetId="28" hidden="1">'33_ доступ.маломобильных'!#REF!</definedName>
    <definedName name="Z_E8D276FA_C068_4D2C_854E_6CC3B576A81F_.wvu.Rows" localSheetId="29" hidden="1">лист!$23:$37</definedName>
    <definedName name="Z_E8D276FA_C068_4D2C_854E_6CC3B576A81F_.wvu.Rows" localSheetId="30" hidden="1">'лист (2)'!$23:$37</definedName>
    <definedName name="Z_E8D276FA_C068_4D2C_854E_6CC3B576A81F_.wvu.Rows" localSheetId="1" hidden="1">'непрограммные расходы'!$14:$15</definedName>
    <definedName name="Z_F096868F_4D12_4AA8_9A60_4F727A578110_.wvu.PrintTitles" localSheetId="2" hidden="1">'01_молодежная политика'!$8:$11</definedName>
    <definedName name="Z_F096868F_4D12_4AA8_9A60_4F727A578110_.wvu.PrintTitles" localSheetId="3" hidden="1">'02_летний отдых'!$8:$11</definedName>
    <definedName name="Z_F096868F_4D12_4AA8_9A60_4F727A578110_.wvu.PrintTitles" localSheetId="4" hidden="1">'03_УМТО'!$8:$11</definedName>
    <definedName name="Z_F096868F_4D12_4AA8_9A60_4F727A578110_.wvu.PrintTitles" localSheetId="5" hidden="1">'04_ развитие сферы культуры'!$8:$11</definedName>
    <definedName name="Z_F096868F_4D12_4AA8_9A60_4F727A578110_.wvu.PrintTitles" localSheetId="6" hidden="1">'05_ развитие муниц.службы'!$8:$11</definedName>
    <definedName name="Z_F096868F_4D12_4AA8_9A60_4F727A578110_.wvu.PrintTitles" localSheetId="7" hidden="1">'06_ охрана труда'!$8:$11</definedName>
    <definedName name="Z_F096868F_4D12_4AA8_9A60_4F727A578110_.wvu.PrintTitles" localSheetId="8" hidden="1">'07_равитие жил.сферы'!$8:$11</definedName>
    <definedName name="Z_F096868F_4D12_4AA8_9A60_4F727A578110_.wvu.PrintTitles" localSheetId="9" hidden="1">'08_ профилактикаТиЭ'!$8:$11</definedName>
    <definedName name="Z_F096868F_4D12_4AA8_9A60_4F727A578110_.wvu.PrintTitles" localSheetId="10" hidden="1">'09_ поддержка СМП'!$8:$11</definedName>
    <definedName name="Z_F096868F_4D12_4AA8_9A60_4F727A578110_.wvu.PrintTitles" localSheetId="11" hidden="1">'10_градостроительная деят'!$8:$11</definedName>
    <definedName name="Z_F096868F_4D12_4AA8_9A60_4F727A578110_.wvu.PrintTitles" localSheetId="12" hidden="1">'11_проводействие коррупц'!$8:$11</definedName>
    <definedName name="Z_F096868F_4D12_4AA8_9A60_4F727A578110_.wvu.PrintTitles" localSheetId="13" hidden="1">'12_информирование'!$8:$11</definedName>
    <definedName name="Z_F096868F_4D12_4AA8_9A60_4F727A578110_.wvu.PrintTitles" localSheetId="14" hidden="1">'13_ управление имуществом'!$8:$11</definedName>
    <definedName name="Z_F096868F_4D12_4AA8_9A60_4F727A578110_.wvu.PrintTitles" localSheetId="15" hidden="1">'14_ управление муниц.финансами'!$8:$11</definedName>
    <definedName name="Z_F096868F_4D12_4AA8_9A60_4F727A578110_.wvu.PrintTitles" localSheetId="16" hidden="1">'15_транспортная'!$8:$11</definedName>
    <definedName name="Z_F096868F_4D12_4AA8_9A60_4F727A578110_.wvu.PrintTitles" localSheetId="17" hidden="1">'16_ обеспеч. жильем молодых '!$8:$11</definedName>
    <definedName name="Z_F096868F_4D12_4AA8_9A60_4F727A578110_.wvu.PrintTitles" localSheetId="18" hidden="1">'17_ развитие физ.и спорта'!$8:$11</definedName>
    <definedName name="Z_F096868F_4D12_4AA8_9A60_4F727A578110_.wvu.PrintTitles" localSheetId="19" hidden="1">'18_ отд.полн.в сфере опеки'!$8:$11</definedName>
    <definedName name="Z_F096868F_4D12_4AA8_9A60_4F727A578110_.wvu.PrintTitles" localSheetId="20" hidden="1">'19_поддержка СОНО'!$8:$11</definedName>
    <definedName name="Z_F096868F_4D12_4AA8_9A60_4F727A578110_.wvu.PrintTitles" localSheetId="21" hidden="1">'20_ развитие ЖКХ'!$8:$11</definedName>
    <definedName name="Z_F096868F_4D12_4AA8_9A60_4F727A578110_.wvu.PrintTitles" localSheetId="22" hidden="1">'22_ ОБЖ'!$8:$11</definedName>
    <definedName name="Z_F096868F_4D12_4AA8_9A60_4F727A578110_.wvu.PrintTitles" localSheetId="23" hidden="1">'23_ликвид. приспособ.строений'!$8:$11</definedName>
    <definedName name="Z_F096868F_4D12_4AA8_9A60_4F727A578110_.wvu.PrintTitles" localSheetId="24" hidden="1">'24_ эколог.без-ть)'!$8:$11</definedName>
    <definedName name="Z_F096868F_4D12_4AA8_9A60_4F727A578110_.wvu.PrintTitles" localSheetId="25" hidden="1">'27_ информац.общество'!$8:$11</definedName>
    <definedName name="Z_F096868F_4D12_4AA8_9A60_4F727A578110_.wvu.PrintTitles" localSheetId="26" hidden="1">'28_ развитие образования'!$8:$11</definedName>
    <definedName name="Z_F096868F_4D12_4AA8_9A60_4F727A578110_.wvu.PrintTitles" localSheetId="27" hidden="1">'29_ФСГС'!$8:$10</definedName>
    <definedName name="Z_F096868F_4D12_4AA8_9A60_4F727A578110_.wvu.PrintTitles" localSheetId="28" hidden="1">'33_ доступ.маломобильных'!$8:$11</definedName>
    <definedName name="Z_F096868F_4D12_4AA8_9A60_4F727A578110_.wvu.PrintTitles" localSheetId="29" hidden="1">лист!$8:$11</definedName>
    <definedName name="Z_F096868F_4D12_4AA8_9A60_4F727A578110_.wvu.PrintTitles" localSheetId="30" hidden="1">'лист (2)'!$8:$11</definedName>
    <definedName name="Z_F096868F_4D12_4AA8_9A60_4F727A578110_.wvu.PrintTitles" localSheetId="1" hidden="1">'непрограммные расходы'!$8:$11</definedName>
    <definedName name="Z_F096868F_4D12_4AA8_9A60_4F727A578110_.wvu.PrintTitles" localSheetId="0" hidden="1">СВОД!$7:$10</definedName>
    <definedName name="Z_F096868F_4D12_4AA8_9A60_4F727A578110_.wvu.Rows" localSheetId="3" hidden="1">'02_летний отдых'!$19:$23</definedName>
    <definedName name="Z_F096868F_4D12_4AA8_9A60_4F727A578110_.wvu.Rows" localSheetId="5" hidden="1">'04_ развитие сферы культуры'!$18:$18</definedName>
    <definedName name="Z_F096868F_4D12_4AA8_9A60_4F727A578110_.wvu.Rows" localSheetId="8" hidden="1">'07_равитие жил.сферы'!$13:$18,'07_равитие жил.сферы'!$20:$37</definedName>
    <definedName name="Z_F096868F_4D12_4AA8_9A60_4F727A578110_.wvu.Rows" localSheetId="9" hidden="1">'08_ профилактикаТиЭ'!$16:$19,'08_ профилактикаТиЭ'!$34:$37</definedName>
    <definedName name="Z_F096868F_4D12_4AA8_9A60_4F727A578110_.wvu.Rows" localSheetId="17" hidden="1">'16_ обеспеч. жильем молодых '!$13:$37</definedName>
    <definedName name="Z_F55D2626_B25D_4865_88D7_A4040A583D45_.wvu.PrintTitles" localSheetId="2" hidden="1">'01_молодежная политика'!$8:$11</definedName>
    <definedName name="Z_F55D2626_B25D_4865_88D7_A4040A583D45_.wvu.PrintTitles" localSheetId="3" hidden="1">'02_летний отдых'!$8:$11</definedName>
    <definedName name="Z_F55D2626_B25D_4865_88D7_A4040A583D45_.wvu.PrintTitles" localSheetId="4" hidden="1">'03_УМТО'!$8:$11</definedName>
    <definedName name="Z_F55D2626_B25D_4865_88D7_A4040A583D45_.wvu.PrintTitles" localSheetId="5" hidden="1">'04_ развитие сферы культуры'!$8:$11</definedName>
    <definedName name="Z_F55D2626_B25D_4865_88D7_A4040A583D45_.wvu.PrintTitles" localSheetId="6" hidden="1">'05_ развитие муниц.службы'!$8:$11</definedName>
    <definedName name="Z_F55D2626_B25D_4865_88D7_A4040A583D45_.wvu.PrintTitles" localSheetId="7" hidden="1">'06_ охрана труда'!$8:$11</definedName>
    <definedName name="Z_F55D2626_B25D_4865_88D7_A4040A583D45_.wvu.PrintTitles" localSheetId="8" hidden="1">'07_равитие жил.сферы'!$8:$11</definedName>
    <definedName name="Z_F55D2626_B25D_4865_88D7_A4040A583D45_.wvu.PrintTitles" localSheetId="9" hidden="1">'08_ профилактикаТиЭ'!$8:$11</definedName>
    <definedName name="Z_F55D2626_B25D_4865_88D7_A4040A583D45_.wvu.PrintTitles" localSheetId="10" hidden="1">'09_ поддержка СМП'!$8:$11</definedName>
    <definedName name="Z_F55D2626_B25D_4865_88D7_A4040A583D45_.wvu.PrintTitles" localSheetId="11" hidden="1">'10_градостроительная деят'!$8:$11</definedName>
    <definedName name="Z_F55D2626_B25D_4865_88D7_A4040A583D45_.wvu.PrintTitles" localSheetId="12" hidden="1">'11_проводействие коррупц'!$8:$11</definedName>
    <definedName name="Z_F55D2626_B25D_4865_88D7_A4040A583D45_.wvu.PrintTitles" localSheetId="13" hidden="1">'12_информирование'!$8:$11</definedName>
    <definedName name="Z_F55D2626_B25D_4865_88D7_A4040A583D45_.wvu.PrintTitles" localSheetId="14" hidden="1">'13_ управление имуществом'!$8:$11</definedName>
    <definedName name="Z_F55D2626_B25D_4865_88D7_A4040A583D45_.wvu.PrintTitles" localSheetId="15" hidden="1">'14_ управление муниц.финансами'!$8:$11</definedName>
    <definedName name="Z_F55D2626_B25D_4865_88D7_A4040A583D45_.wvu.PrintTitles" localSheetId="16" hidden="1">'15_транспортная'!$8:$11</definedName>
    <definedName name="Z_F55D2626_B25D_4865_88D7_A4040A583D45_.wvu.PrintTitles" localSheetId="17" hidden="1">'16_ обеспеч. жильем молодых '!$8:$11</definedName>
    <definedName name="Z_F55D2626_B25D_4865_88D7_A4040A583D45_.wvu.PrintTitles" localSheetId="18" hidden="1">'17_ развитие физ.и спорта'!$8:$11</definedName>
    <definedName name="Z_F55D2626_B25D_4865_88D7_A4040A583D45_.wvu.PrintTitles" localSheetId="19" hidden="1">'18_ отд.полн.в сфере опеки'!$8:$11</definedName>
    <definedName name="Z_F55D2626_B25D_4865_88D7_A4040A583D45_.wvu.PrintTitles" localSheetId="20" hidden="1">'19_поддержка СОНО'!$8:$11</definedName>
    <definedName name="Z_F55D2626_B25D_4865_88D7_A4040A583D45_.wvu.PrintTitles" localSheetId="21" hidden="1">'20_ развитие ЖКХ'!$8:$11</definedName>
    <definedName name="Z_F55D2626_B25D_4865_88D7_A4040A583D45_.wvu.PrintTitles" localSheetId="22" hidden="1">'22_ ОБЖ'!$8:$11</definedName>
    <definedName name="Z_F55D2626_B25D_4865_88D7_A4040A583D45_.wvu.PrintTitles" localSheetId="23" hidden="1">'23_ликвид. приспособ.строений'!$8:$11</definedName>
    <definedName name="Z_F55D2626_B25D_4865_88D7_A4040A583D45_.wvu.PrintTitles" localSheetId="24" hidden="1">'24_ эколог.без-ть)'!$8:$11</definedName>
    <definedName name="Z_F55D2626_B25D_4865_88D7_A4040A583D45_.wvu.PrintTitles" localSheetId="25" hidden="1">'27_ информац.общество'!$8:$11</definedName>
    <definedName name="Z_F55D2626_B25D_4865_88D7_A4040A583D45_.wvu.PrintTitles" localSheetId="26" hidden="1">'28_ развитие образования'!$8:$11</definedName>
    <definedName name="Z_F55D2626_B25D_4865_88D7_A4040A583D45_.wvu.PrintTitles" localSheetId="27" hidden="1">'29_ФСГС'!$8:$10</definedName>
    <definedName name="Z_F55D2626_B25D_4865_88D7_A4040A583D45_.wvu.PrintTitles" localSheetId="28" hidden="1">'33_ доступ.маломобильных'!$8:$11</definedName>
    <definedName name="Z_F55D2626_B25D_4865_88D7_A4040A583D45_.wvu.PrintTitles" localSheetId="29" hidden="1">лист!$8:$11</definedName>
    <definedName name="Z_F55D2626_B25D_4865_88D7_A4040A583D45_.wvu.PrintTitles" localSheetId="30" hidden="1">'лист (2)'!$8:$11</definedName>
    <definedName name="Z_F55D2626_B25D_4865_88D7_A4040A583D45_.wvu.PrintTitles" localSheetId="1" hidden="1">'непрограммные расходы'!$8:$11</definedName>
    <definedName name="Z_F55D2626_B25D_4865_88D7_A4040A583D45_.wvu.Rows" localSheetId="3" hidden="1">'02_летний отдых'!$2:$2</definedName>
    <definedName name="Z_F55D2626_B25D_4865_88D7_A4040A583D45_.wvu.Rows" localSheetId="5" hidden="1">'04_ развитие сферы культуры'!$18:$18</definedName>
    <definedName name="Z_F55D2626_B25D_4865_88D7_A4040A583D45_.wvu.Rows" localSheetId="8" hidden="1">'07_равитие жил.сферы'!$13:$37</definedName>
    <definedName name="Z_F55D2626_B25D_4865_88D7_A4040A583D45_.wvu.Rows" localSheetId="9" hidden="1">'08_ профилактикаТиЭ'!$16:$19,'08_ профилактикаТиЭ'!$24:$24,'08_ профилактикаТиЭ'!$34:$37</definedName>
    <definedName name="Z_F55D2626_B25D_4865_88D7_A4040A583D45_.wvu.Rows" localSheetId="17" hidden="1">'16_ обеспеч. жильем молодых '!$13:$37</definedName>
    <definedName name="Z_F55D2626_B25D_4865_88D7_A4040A583D45_.wvu.Rows" localSheetId="0" hidden="1">СВОД!#REF!</definedName>
    <definedName name="Z_F703C042_0718_476E_AC4E_A7D8272E3D5D_.wvu.PrintTitles" localSheetId="2" hidden="1">'01_молодежная политика'!$8:$11</definedName>
    <definedName name="Z_F703C042_0718_476E_AC4E_A7D8272E3D5D_.wvu.PrintTitles" localSheetId="3" hidden="1">'02_летний отдых'!$8:$11</definedName>
    <definedName name="Z_F703C042_0718_476E_AC4E_A7D8272E3D5D_.wvu.PrintTitles" localSheetId="4" hidden="1">'03_УМТО'!$8:$11</definedName>
    <definedName name="Z_F703C042_0718_476E_AC4E_A7D8272E3D5D_.wvu.PrintTitles" localSheetId="5" hidden="1">'04_ развитие сферы культуры'!$8:$11</definedName>
    <definedName name="Z_F703C042_0718_476E_AC4E_A7D8272E3D5D_.wvu.PrintTitles" localSheetId="6" hidden="1">'05_ развитие муниц.службы'!$8:$11</definedName>
    <definedName name="Z_F703C042_0718_476E_AC4E_A7D8272E3D5D_.wvu.PrintTitles" localSheetId="7" hidden="1">'06_ охрана труда'!$8:$11</definedName>
    <definedName name="Z_F703C042_0718_476E_AC4E_A7D8272E3D5D_.wvu.PrintTitles" localSheetId="8" hidden="1">'07_равитие жил.сферы'!$8:$11</definedName>
    <definedName name="Z_F703C042_0718_476E_AC4E_A7D8272E3D5D_.wvu.PrintTitles" localSheetId="9" hidden="1">'08_ профилактикаТиЭ'!$8:$11</definedName>
    <definedName name="Z_F703C042_0718_476E_AC4E_A7D8272E3D5D_.wvu.PrintTitles" localSheetId="10" hidden="1">'09_ поддержка СМП'!$8:$11</definedName>
    <definedName name="Z_F703C042_0718_476E_AC4E_A7D8272E3D5D_.wvu.PrintTitles" localSheetId="11" hidden="1">'10_градостроительная деят'!$8:$11</definedName>
    <definedName name="Z_F703C042_0718_476E_AC4E_A7D8272E3D5D_.wvu.PrintTitles" localSheetId="12" hidden="1">'11_проводействие коррупц'!$8:$11</definedName>
    <definedName name="Z_F703C042_0718_476E_AC4E_A7D8272E3D5D_.wvu.PrintTitles" localSheetId="13" hidden="1">'12_информирование'!$8:$11</definedName>
    <definedName name="Z_F703C042_0718_476E_AC4E_A7D8272E3D5D_.wvu.PrintTitles" localSheetId="14" hidden="1">'13_ управление имуществом'!$8:$11</definedName>
    <definedName name="Z_F703C042_0718_476E_AC4E_A7D8272E3D5D_.wvu.PrintTitles" localSheetId="15" hidden="1">'14_ управление муниц.финансами'!$8:$11</definedName>
    <definedName name="Z_F703C042_0718_476E_AC4E_A7D8272E3D5D_.wvu.PrintTitles" localSheetId="16" hidden="1">'15_транспортная'!$8:$11</definedName>
    <definedName name="Z_F703C042_0718_476E_AC4E_A7D8272E3D5D_.wvu.PrintTitles" localSheetId="17" hidden="1">'16_ обеспеч. жильем молодых '!$8:$11</definedName>
    <definedName name="Z_F703C042_0718_476E_AC4E_A7D8272E3D5D_.wvu.PrintTitles" localSheetId="18" hidden="1">'17_ развитие физ.и спорта'!$8:$11</definedName>
    <definedName name="Z_F703C042_0718_476E_AC4E_A7D8272E3D5D_.wvu.PrintTitles" localSheetId="19" hidden="1">'18_ отд.полн.в сфере опеки'!$8:$11</definedName>
    <definedName name="Z_F703C042_0718_476E_AC4E_A7D8272E3D5D_.wvu.PrintTitles" localSheetId="20" hidden="1">'19_поддержка СОНО'!$8:$11</definedName>
    <definedName name="Z_F703C042_0718_476E_AC4E_A7D8272E3D5D_.wvu.PrintTitles" localSheetId="21" hidden="1">'20_ развитие ЖКХ'!$8:$11</definedName>
    <definedName name="Z_F703C042_0718_476E_AC4E_A7D8272E3D5D_.wvu.PrintTitles" localSheetId="22" hidden="1">'22_ ОБЖ'!$8:$11</definedName>
    <definedName name="Z_F703C042_0718_476E_AC4E_A7D8272E3D5D_.wvu.PrintTitles" localSheetId="23" hidden="1">'23_ликвид. приспособ.строений'!$8:$11</definedName>
    <definedName name="Z_F703C042_0718_476E_AC4E_A7D8272E3D5D_.wvu.PrintTitles" localSheetId="24" hidden="1">'24_ эколог.без-ть)'!$8:$11</definedName>
    <definedName name="Z_F703C042_0718_476E_AC4E_A7D8272E3D5D_.wvu.PrintTitles" localSheetId="25" hidden="1">'27_ информац.общество'!$8:$11</definedName>
    <definedName name="Z_F703C042_0718_476E_AC4E_A7D8272E3D5D_.wvu.PrintTitles" localSheetId="26" hidden="1">'28_ развитие образования'!$8:$11</definedName>
    <definedName name="Z_F703C042_0718_476E_AC4E_A7D8272E3D5D_.wvu.PrintTitles" localSheetId="27" hidden="1">'29_ФСГС'!$8:$10</definedName>
    <definedName name="Z_F703C042_0718_476E_AC4E_A7D8272E3D5D_.wvu.PrintTitles" localSheetId="28" hidden="1">'33_ доступ.маломобильных'!$8:$11</definedName>
    <definedName name="Z_F703C042_0718_476E_AC4E_A7D8272E3D5D_.wvu.PrintTitles" localSheetId="29" hidden="1">лист!$8:$11</definedName>
    <definedName name="Z_F703C042_0718_476E_AC4E_A7D8272E3D5D_.wvu.PrintTitles" localSheetId="30" hidden="1">'лист (2)'!$8:$11</definedName>
    <definedName name="Z_F703C042_0718_476E_AC4E_A7D8272E3D5D_.wvu.PrintTitles" localSheetId="1" hidden="1">'непрограммные расходы'!$8:$11</definedName>
    <definedName name="Z_F703C042_0718_476E_AC4E_A7D8272E3D5D_.wvu.Rows" localSheetId="2" hidden="1">'01_молодежная политика'!$26:$26</definedName>
    <definedName name="Z_F703C042_0718_476E_AC4E_A7D8272E3D5D_.wvu.Rows" localSheetId="3" hidden="1">'02_летний отдых'!$19:$23</definedName>
    <definedName name="Z_F703C042_0718_476E_AC4E_A7D8272E3D5D_.wvu.Rows" localSheetId="4" hidden="1">'03_УМТО'!$16:$17</definedName>
    <definedName name="Z_F703C042_0718_476E_AC4E_A7D8272E3D5D_.wvu.Rows" localSheetId="5" hidden="1">'04_ развитие сферы культуры'!$23:$33</definedName>
    <definedName name="Z_F703C042_0718_476E_AC4E_A7D8272E3D5D_.wvu.Rows" localSheetId="6" hidden="1">'05_ развитие муниц.службы'!#REF!</definedName>
    <definedName name="Z_F703C042_0718_476E_AC4E_A7D8272E3D5D_.wvu.Rows" localSheetId="7" hidden="1">'06_ охрана труда'!#REF!</definedName>
    <definedName name="Z_F703C042_0718_476E_AC4E_A7D8272E3D5D_.wvu.Rows" localSheetId="8" hidden="1">'07_равитие жил.сферы'!$23:$37</definedName>
    <definedName name="Z_F703C042_0718_476E_AC4E_A7D8272E3D5D_.wvu.Rows" localSheetId="9" hidden="1">'08_ профилактикаТиЭ'!$24:$38</definedName>
    <definedName name="Z_F703C042_0718_476E_AC4E_A7D8272E3D5D_.wvu.Rows" localSheetId="10" hidden="1">'09_ поддержка СМП'!$12:$19</definedName>
    <definedName name="Z_F703C042_0718_476E_AC4E_A7D8272E3D5D_.wvu.Rows" localSheetId="11" hidden="1">'10_градостроительная деят'!$17:$19</definedName>
    <definedName name="Z_F703C042_0718_476E_AC4E_A7D8272E3D5D_.wvu.Rows" localSheetId="12" hidden="1">'11_проводействие коррупц'!#REF!</definedName>
    <definedName name="Z_F703C042_0718_476E_AC4E_A7D8272E3D5D_.wvu.Rows" localSheetId="13" hidden="1">'12_информирование'!#REF!</definedName>
    <definedName name="Z_F703C042_0718_476E_AC4E_A7D8272E3D5D_.wvu.Rows" localSheetId="14" hidden="1">'13_ управление имуществом'!$24:$30</definedName>
    <definedName name="Z_F703C042_0718_476E_AC4E_A7D8272E3D5D_.wvu.Rows" localSheetId="15" hidden="1">'14_ управление муниц.финансами'!$22:$25</definedName>
    <definedName name="Z_F703C042_0718_476E_AC4E_A7D8272E3D5D_.wvu.Rows" localSheetId="16" hidden="1">'15_транспортная'!#REF!</definedName>
    <definedName name="Z_F703C042_0718_476E_AC4E_A7D8272E3D5D_.wvu.Rows" localSheetId="17" hidden="1">'16_ обеспеч. жильем молодых '!$23:$37</definedName>
    <definedName name="Z_F703C042_0718_476E_AC4E_A7D8272E3D5D_.wvu.Rows" localSheetId="18" hidden="1">'17_ развитие физ.и спорта'!#REF!</definedName>
    <definedName name="Z_F703C042_0718_476E_AC4E_A7D8272E3D5D_.wvu.Rows" localSheetId="19" hidden="1">'18_ отд.полн.в сфере опеки'!#REF!</definedName>
    <definedName name="Z_F703C042_0718_476E_AC4E_A7D8272E3D5D_.wvu.Rows" localSheetId="20" hidden="1">'19_поддержка СОНО'!#REF!</definedName>
    <definedName name="Z_F703C042_0718_476E_AC4E_A7D8272E3D5D_.wvu.Rows" localSheetId="21" hidden="1">'20_ развитие ЖКХ'!$24:$32</definedName>
    <definedName name="Z_F703C042_0718_476E_AC4E_A7D8272E3D5D_.wvu.Rows" localSheetId="22" hidden="1">'22_ ОБЖ'!#REF!</definedName>
    <definedName name="Z_F703C042_0718_476E_AC4E_A7D8272E3D5D_.wvu.Rows" localSheetId="23" hidden="1">'23_ликвид. приспособ.строений'!$23:$37</definedName>
    <definedName name="Z_F703C042_0718_476E_AC4E_A7D8272E3D5D_.wvu.Rows" localSheetId="24" hidden="1">'24_ эколог.без-ть)'!$16:$21</definedName>
    <definedName name="Z_F703C042_0718_476E_AC4E_A7D8272E3D5D_.wvu.Rows" localSheetId="25" hidden="1">'27_ информац.общество'!$18:$28</definedName>
    <definedName name="Z_F703C042_0718_476E_AC4E_A7D8272E3D5D_.wvu.Rows" localSheetId="26" hidden="1">'28_ развитие образования'!#REF!</definedName>
    <definedName name="Z_F703C042_0718_476E_AC4E_A7D8272E3D5D_.wvu.Rows" localSheetId="27" hidden="1">'29_ФСГС'!$11:$14</definedName>
    <definedName name="Z_F703C042_0718_476E_AC4E_A7D8272E3D5D_.wvu.Rows" localSheetId="28" hidden="1">'33_ доступ.маломобильных'!#REF!</definedName>
    <definedName name="Z_F703C042_0718_476E_AC4E_A7D8272E3D5D_.wvu.Rows" localSheetId="29" hidden="1">лист!$23:$37</definedName>
    <definedName name="Z_F703C042_0718_476E_AC4E_A7D8272E3D5D_.wvu.Rows" localSheetId="30" hidden="1">'лист (2)'!$23:$37</definedName>
    <definedName name="Z_F703C042_0718_476E_AC4E_A7D8272E3D5D_.wvu.Rows" localSheetId="1" hidden="1">'непрограммные расходы'!$14:$15</definedName>
    <definedName name="_xlnm.Print_Titles" localSheetId="2">'01_молодежная политика'!$8:$11</definedName>
    <definedName name="_xlnm.Print_Titles" localSheetId="3">'02_летний отдых'!$8:$11</definedName>
    <definedName name="_xlnm.Print_Titles" localSheetId="4">'03_УМТО'!$8:$11</definedName>
    <definedName name="_xlnm.Print_Titles" localSheetId="5">'04_ развитие сферы культуры'!$8:$11</definedName>
    <definedName name="_xlnm.Print_Titles" localSheetId="6">'05_ развитие муниц.службы'!$8:$11</definedName>
    <definedName name="_xlnm.Print_Titles" localSheetId="7">'06_ охрана труда'!$8:$11</definedName>
    <definedName name="_xlnm.Print_Titles" localSheetId="8">'07_равитие жил.сферы'!$8:$11</definedName>
    <definedName name="_xlnm.Print_Titles" localSheetId="9">'08_ профилактикаТиЭ'!$8:$11</definedName>
    <definedName name="_xlnm.Print_Titles" localSheetId="10">'09_ поддержка СМП'!$8:$11</definedName>
    <definedName name="_xlnm.Print_Titles" localSheetId="11">'10_градостроительная деят'!$8:$11</definedName>
    <definedName name="_xlnm.Print_Titles" localSheetId="12">'11_проводействие коррупц'!$8:$11</definedName>
    <definedName name="_xlnm.Print_Titles" localSheetId="13">'12_информирование'!$8:$11</definedName>
    <definedName name="_xlnm.Print_Titles" localSheetId="14">'13_ управление имуществом'!$8:$11</definedName>
    <definedName name="_xlnm.Print_Titles" localSheetId="15">'14_ управление муниц.финансами'!$8:$11</definedName>
    <definedName name="_xlnm.Print_Titles" localSheetId="16">'15_транспортная'!$8:$11</definedName>
    <definedName name="_xlnm.Print_Titles" localSheetId="17">'16_ обеспеч. жильем молодых '!$8:$11</definedName>
    <definedName name="_xlnm.Print_Titles" localSheetId="18">'17_ развитие физ.и спорта'!$8:$11</definedName>
    <definedName name="_xlnm.Print_Titles" localSheetId="19">'18_ отд.полн.в сфере опеки'!$8:$11</definedName>
    <definedName name="_xlnm.Print_Titles" localSheetId="20">'19_поддержка СОНО'!$8:$11</definedName>
    <definedName name="_xlnm.Print_Titles" localSheetId="21">'20_ развитие ЖКХ'!$8:$11</definedName>
    <definedName name="_xlnm.Print_Titles" localSheetId="22">'22_ ОБЖ'!$8:$11</definedName>
    <definedName name="_xlnm.Print_Titles" localSheetId="23">'23_ликвид. приспособ.строений'!$8:$11</definedName>
    <definedName name="_xlnm.Print_Titles" localSheetId="24">'24_ эколог.без-ть)'!$8:$11</definedName>
    <definedName name="_xlnm.Print_Titles" localSheetId="25">'27_ информац.общество'!$8:$11</definedName>
    <definedName name="_xlnm.Print_Titles" localSheetId="26">'28_ развитие образования'!$8:$11</definedName>
    <definedName name="_xlnm.Print_Titles" localSheetId="27">'29_ФСГС'!$8:$10</definedName>
    <definedName name="_xlnm.Print_Titles" localSheetId="28">'33_ доступ.маломобильных'!$8:$11</definedName>
    <definedName name="_xlnm.Print_Titles" localSheetId="29">лист!$8:$11</definedName>
    <definedName name="_xlnm.Print_Titles" localSheetId="30">'лист (2)'!$8:$11</definedName>
    <definedName name="_xlnm.Print_Titles" localSheetId="1">'непрограммные расходы'!$8:$11</definedName>
  </definedNames>
  <calcPr calcId="144525"/>
  <customWorkbookViews>
    <customWorkbookView name="Острешкина Наталья Иосифовна - Личное представление" guid="{F55D2626-B25D-4865-88D7-A4040A583D45}" mergeInterval="0" personalView="1" maximized="1" windowWidth="1916" windowHeight="849" tabRatio="903" activeSheetId="2"/>
    <customWorkbookView name="Ходулапова Алена Евгеньевна - Личное представление" guid="{9D6C8421-31F4-449D-B427-1D13044E970D}" mergeInterval="0" personalView="1" maximized="1" windowWidth="1916" windowHeight="835" tabRatio="903" activeSheetId="29"/>
    <customWorkbookView name="Finansist-01 - Личное представление" guid="{CCAC52F4-1AE6-4B0C-B39F-86F6AB8E32E1}" mergeInterval="0" personalView="1" maximized="1" xWindow="1" yWindow="1" windowWidth="1916" windowHeight="850" tabRatio="903" activeSheetId="27"/>
    <customWorkbookView name="Узун Татьяна Александровна - Личное представление" guid="{8286488C-3E2A-4969-AFC8-11C0D17DBFA2}" mergeInterval="0" personalView="1" maximized="1" windowWidth="1916" windowHeight="865" tabRatio="944" activeSheetId="25"/>
    <customWorkbookView name="Гайнетдинова Гульшат Ришатовна - Личное представление" guid="{9FDA873B-3790-49DF-BB2A-AB29A0E400EE}" mergeInterval="0" personalView="1" maximized="1" xWindow="1" yWindow="1" windowWidth="1916" windowHeight="843" tabRatio="944" activeSheetId="4"/>
    <customWorkbookView name="Толкова Екатерина Дмитриевна - Личное представление" guid="{A8921178-F68B-4A7A-94A0-4276A60BD3E0}" mergeInterval="0" personalView="1" maximized="1" windowWidth="1916" windowHeight="855" tabRatio="944" activeSheetId="12"/>
    <customWorkbookView name="Хомич Юлия Викторовна - Личное представление" guid="{018285DA-3408-490C-ABEC-1F81E9B027B8}" mergeInterval="0" personalView="1" maximized="1" windowWidth="1916" windowHeight="913" tabRatio="944" activeSheetId="22" showComments="commIndAndComment"/>
    <customWorkbookView name="Мясникова Екатерина Николаевна - Личное представление" guid="{A5DBAE43-8F82-4F4D-9055-3A08EB5E7494}" mergeInterval="0" personalView="1" maximized="1" windowWidth="1276" windowHeight="805" tabRatio="944" activeSheetId="27"/>
    <customWorkbookView name="Андрусенко Антон Викторович - Личное представление" guid="{80D9E77B-0FDF-47F7-9E67-DE30E0CF7473}" mergeInterval="0" personalView="1" maximized="1" windowWidth="1916" windowHeight="893" tabRatio="944" activeSheetId="21"/>
    <customWorkbookView name="Finansist-03 - Личное представление" guid="{2DCCB647-6BFB-4F2E-B13D-18849C971762}" mergeInterval="0" personalView="1" maximized="1" xWindow="1" yWindow="1" windowWidth="1916" windowHeight="844" tabRatio="702" activeSheetId="15"/>
    <customWorkbookView name="Бойчук Людмила Николаевна - Личное представление" guid="{8BE83DB2-6774-48C6-92AB-2B7F8E9B28FE}" mergeInterval="0" personalView="1" maximized="1" windowWidth="1916" windowHeight="854" tabRatio="867" activeSheetId="29"/>
    <customWorkbookView name="Качинская Инна Викторовна - Личное представление" guid="{802963C4-0B26-4FAC-BA6A-4A8F0B5EEF6E}" mergeInterval="0" personalView="1" maximized="1" windowWidth="1916" windowHeight="845" activeSheetId="26"/>
    <customWorkbookView name="Салькова Антонина Петровна - Личное представление" guid="{29B9ECE6-FCA1-4FB1-A261-60DAFF74F5A0}" mergeInterval="0" personalView="1" maximized="1" windowWidth="1916" windowHeight="855" activeSheetId="24"/>
    <customWorkbookView name="Беляева Екатерина Владимировна - Личное представление" guid="{AB2344E8-B2B4-4FED-B00F-4FC936E289CA}" mergeInterval="0" personalView="1" maximized="1" xWindow="1" yWindow="1" windowWidth="1916" windowHeight="808" activeSheetId="4"/>
    <customWorkbookView name="Рамазанова Лилия Гусманова - Личное представление" guid="{2EF908A7-3CB6-44E9-B36E-C5E6228059C9}" mergeInterval="0" personalView="1" maximized="1" windowWidth="1916" windowHeight="821" activeSheetId="27"/>
    <customWorkbookView name="Медведева Людмила Алексеевна - Личное представление" guid="{49CFD9BB-4553-4961-98FA-54D606D77CB3}" mergeInterval="0" personalView="1" maximized="1" windowWidth="1916" windowHeight="825" activeSheetId="10"/>
    <customWorkbookView name="Вирясова Татьяна Николаевна - Личное представление" guid="{58212A0C-D01F-46BB-A8FF-B8633CAFB4C7}" mergeInterval="0" personalView="1" maximized="1" windowWidth="1916" windowHeight="884" activeSheetId="9"/>
    <customWorkbookView name="Finansist-4 - Личное представление" guid="{4114AF89-BE86-4126-842F-E7E638D21B52}" mergeInterval="0" personalView="1" maximized="1" xWindow="1" yWindow="1" windowWidth="1916" windowHeight="844" activeSheetId="1"/>
    <customWorkbookView name="Finansist-05 - Личное представление" guid="{43178A93-ED05-455B-9A0A-D005815672F4}" mergeInterval="0" personalView="1" maximized="1" xWindow="1" yWindow="1" windowWidth="1916" windowHeight="844" activeSheetId="11"/>
    <customWorkbookView name="Носов Анатолий Анатольевич - Личное представление" guid="{3EDDB5B9-BC77-4202-8F70-9C3651D44459}" mergeInterval="0" personalView="1" maximized="1" windowWidth="1916" windowHeight="775" activeSheetId="17"/>
    <customWorkbookView name="PanaitovaTG - Личное представление" guid="{E8D276FA-C068-4D2C-854E-6CC3B576A81F}" mergeInterval="0" personalView="1" maximized="1" xWindow="1" yWindow="1" windowWidth="1920" windowHeight="860" activeSheetId="17" showComments="commIndAndComment"/>
    <customWorkbookView name="Фахриев Азамат Шагидуллович - Личное представление" guid="{F703C042-0718-476E-AC4E-A7D8272E3D5D}" mergeInterval="0" personalView="1" maximized="1" windowWidth="1916" windowHeight="854" activeSheetId="25"/>
    <customWorkbookView name="Your User Name - Личное представление" guid="{76DE8D8D-0AE0-44F4-9134-4F50A4AF1423}" mergeInterval="0" personalView="1" maximized="1" xWindow="1" yWindow="1" windowWidth="1920" windowHeight="843" tabRatio="944" activeSheetId="10"/>
    <customWorkbookView name="Фурман Наталья Валерьевна - Личное представление" guid="{252DDAAD-7623-465E-8DD1-187342A6B6D8}" mergeInterval="0" personalView="1" maximized="1" windowWidth="1916" windowHeight="805" activeSheetId="4"/>
    <customWorkbookView name="Головатюк Вера Тимофеевна - Личное представление" guid="{D8A19DD2-30A5-49C4-B365-269F2931D330}" mergeInterval="0" personalView="1" maximized="1" windowWidth="1436" windowHeight="681" activeSheetId="7"/>
    <customWorkbookView name="Багиева Заира Абдулкадировна - Личное представление" guid="{6D6F00BA-5393-49B6-B3BC-C80F08FA7E30}" mergeInterval="0" personalView="1" maximized="1" windowWidth="1916" windowHeight="829" activeSheetId="14"/>
    <customWorkbookView name="Сабитова Альбина Занировна - Личное представление" guid="{887BBBC8-E1A3-4468-951B-36A5511E64E6}" mergeInterval="0" personalView="1" maximized="1" xWindow="1" yWindow="1" windowWidth="1920" windowHeight="850" tabRatio="944" activeSheetId="11"/>
    <customWorkbookView name="Лилия Анатольевна Целуйко - Личное представление" guid="{45FCA6AB-AB6F-4F22-9438-33A76E5A8860}" mergeInterval="0" personalView="1" maximized="1" windowWidth="1916" windowHeight="829" activeSheetId="23"/>
    <customWorkbookView name="Москаленко Татьяна Александровна - Личное представление" guid="{0D720A5F-1A01-491E-B456-8B8A613064CA}" mergeInterval="0" personalView="1" maximized="1" windowWidth="1916" windowHeight="855" activeSheetId="22"/>
    <customWorkbookView name="Артамонов Алексей Иванович - Личное представление" guid="{D5197AC6-1A58-48A0-AB21-B9E0EBB01937}" mergeInterval="0" personalView="1" maximized="1" windowWidth="1916" windowHeight="855" activeSheetId="26"/>
    <customWorkbookView name="Кирьянова Дарья Юрьевна - Личное представление" guid="{5E847525-B5B0-4151-9870-F971B482221C}" mergeInterval="0" personalView="1" maximized="1" windowWidth="1916" windowHeight="785" activeSheetId="6"/>
    <customWorkbookView name="Finansist-8 - Личное представление" guid="{F096868F-4D12-4AA8-9A60-4F727A578110}" mergeInterval="0" personalView="1" maximized="1" xWindow="1" yWindow="1" windowWidth="1916" windowHeight="844" tabRatio="944" activeSheetId="28"/>
  </customWorkbookViews>
</workbook>
</file>

<file path=xl/calcChain.xml><?xml version="1.0" encoding="utf-8"?>
<calcChain xmlns="http://schemas.openxmlformats.org/spreadsheetml/2006/main">
  <c r="L32" i="27" l="1"/>
  <c r="K32" i="27"/>
  <c r="K16" i="5"/>
  <c r="I22" i="16"/>
  <c r="J16" i="5"/>
  <c r="L14" i="28" l="1"/>
  <c r="E29" i="4" l="1"/>
  <c r="I18" i="16" l="1"/>
  <c r="K14" i="26"/>
  <c r="J14" i="5"/>
  <c r="J14" i="12"/>
  <c r="J39" i="23"/>
  <c r="K14" i="14"/>
  <c r="K14" i="19"/>
  <c r="K21" i="6"/>
  <c r="K19" i="27"/>
  <c r="K21" i="27"/>
  <c r="K18" i="27"/>
  <c r="K22" i="27"/>
  <c r="K20" i="27"/>
  <c r="K14" i="6"/>
  <c r="K17" i="27" l="1"/>
  <c r="O32" i="22"/>
  <c r="N32" i="22"/>
  <c r="O21" i="17"/>
  <c r="N21" i="17"/>
  <c r="M21" i="12"/>
  <c r="O18" i="26" l="1"/>
  <c r="N21" i="25"/>
  <c r="O16" i="25"/>
  <c r="N16" i="25"/>
  <c r="N19" i="17"/>
  <c r="O34" i="6"/>
  <c r="E18" i="25"/>
  <c r="C18" i="25"/>
  <c r="E15" i="25"/>
  <c r="C15" i="25"/>
  <c r="E12" i="25"/>
  <c r="C12" i="25"/>
  <c r="C21" i="25" s="1"/>
  <c r="D22" i="22"/>
  <c r="E22" i="22"/>
  <c r="F22" i="22"/>
  <c r="C22" i="22"/>
  <c r="D12" i="22"/>
  <c r="E12" i="22"/>
  <c r="F12" i="22"/>
  <c r="C12" i="22"/>
  <c r="F20" i="22"/>
  <c r="F18" i="22"/>
  <c r="F16" i="22"/>
  <c r="D20" i="22"/>
  <c r="D18" i="22"/>
  <c r="D16" i="22"/>
  <c r="D39" i="18"/>
  <c r="E39" i="18"/>
  <c r="F39" i="18"/>
  <c r="O17" i="7"/>
  <c r="F12" i="17"/>
  <c r="F18" i="17"/>
  <c r="D18" i="17"/>
  <c r="D14" i="17"/>
  <c r="D12" i="17"/>
  <c r="E14" i="17"/>
  <c r="F14" i="17"/>
  <c r="F21" i="17" s="1"/>
  <c r="N16" i="29"/>
  <c r="L28" i="1" s="1"/>
  <c r="M28" i="1"/>
  <c r="M27" i="1"/>
  <c r="L27" i="1"/>
  <c r="L25" i="1"/>
  <c r="L23" i="1"/>
  <c r="O16" i="21"/>
  <c r="M22" i="1" s="1"/>
  <c r="N16" i="21"/>
  <c r="L22" i="1"/>
  <c r="M21" i="1"/>
  <c r="L21" i="1"/>
  <c r="M18" i="1"/>
  <c r="M17" i="1"/>
  <c r="M16" i="1"/>
  <c r="M14" i="1"/>
  <c r="L14" i="1"/>
  <c r="L13" i="1"/>
  <c r="D17" i="12"/>
  <c r="E17" i="12"/>
  <c r="F17" i="12"/>
  <c r="C17" i="12"/>
  <c r="D12" i="12"/>
  <c r="D21" i="12" s="1"/>
  <c r="E12" i="12"/>
  <c r="E21" i="12" s="1"/>
  <c r="F12" i="12"/>
  <c r="F21" i="12" s="1"/>
  <c r="C12" i="12"/>
  <c r="C21" i="12" s="1"/>
  <c r="E21" i="25" l="1"/>
  <c r="F32" i="22"/>
  <c r="D32" i="22"/>
  <c r="D21" i="17"/>
  <c r="O30" i="26"/>
  <c r="M26" i="1" s="1"/>
  <c r="N30" i="26"/>
  <c r="L26" i="1" s="1"/>
  <c r="N79" i="23"/>
  <c r="N83" i="23" s="1"/>
  <c r="M24" i="1" s="1"/>
  <c r="L20" i="1"/>
  <c r="L30" i="15"/>
  <c r="L35" i="15" s="1"/>
  <c r="M26" i="15"/>
  <c r="M23" i="15"/>
  <c r="M22" i="15"/>
  <c r="M19" i="15"/>
  <c r="O22" i="14"/>
  <c r="N22" i="14"/>
  <c r="N16" i="13"/>
  <c r="L18" i="1" s="1"/>
  <c r="M19" i="12"/>
  <c r="L17" i="1" s="1"/>
  <c r="I21" i="11"/>
  <c r="L16" i="1" s="1"/>
  <c r="N39" i="10"/>
  <c r="L15" i="1" s="1"/>
  <c r="O39" i="10"/>
  <c r="M15" i="1" s="1"/>
  <c r="O39" i="9"/>
  <c r="N39" i="9"/>
  <c r="M13" i="1"/>
  <c r="L19" i="5"/>
  <c r="M19" i="5"/>
  <c r="N19" i="5"/>
  <c r="M25" i="4"/>
  <c r="M26" i="3"/>
  <c r="N26" i="3"/>
  <c r="L11" i="1" s="1"/>
  <c r="O26" i="3"/>
  <c r="M11" i="1" s="1"/>
  <c r="M18" i="2"/>
  <c r="N18" i="2"/>
  <c r="O18" i="2"/>
  <c r="F80" i="23"/>
  <c r="E80" i="23"/>
  <c r="D80" i="23"/>
  <c r="C80" i="23"/>
  <c r="F74" i="23"/>
  <c r="E74" i="23"/>
  <c r="D74" i="23"/>
  <c r="C74" i="23"/>
  <c r="F66" i="23"/>
  <c r="E66" i="23"/>
  <c r="D66" i="23"/>
  <c r="C66" i="23"/>
  <c r="F32" i="23"/>
  <c r="E32" i="23"/>
  <c r="D32" i="23"/>
  <c r="C32" i="23"/>
  <c r="F27" i="23"/>
  <c r="E27" i="23"/>
  <c r="D27" i="23"/>
  <c r="C27" i="23"/>
  <c r="F25" i="23"/>
  <c r="E25" i="23"/>
  <c r="D25" i="23"/>
  <c r="C25" i="23"/>
  <c r="F21" i="23"/>
  <c r="E21" i="23"/>
  <c r="D21" i="23"/>
  <c r="C21" i="23"/>
  <c r="F17" i="23"/>
  <c r="E17" i="23"/>
  <c r="D17" i="23"/>
  <c r="C17" i="23"/>
  <c r="F15" i="23"/>
  <c r="E15" i="23"/>
  <c r="D15" i="23"/>
  <c r="C15" i="23"/>
  <c r="F12" i="23"/>
  <c r="E12" i="23"/>
  <c r="D12" i="23"/>
  <c r="C12" i="23"/>
  <c r="F37" i="23"/>
  <c r="E37" i="23"/>
  <c r="D37" i="23"/>
  <c r="C37" i="23"/>
  <c r="F39" i="9"/>
  <c r="E39" i="9"/>
  <c r="D39" i="9"/>
  <c r="F12" i="5"/>
  <c r="F19" i="5" s="1"/>
  <c r="E12" i="5"/>
  <c r="E19" i="5" s="1"/>
  <c r="D12" i="5"/>
  <c r="D19" i="5" s="1"/>
  <c r="C12" i="5"/>
  <c r="C19" i="5" s="1"/>
  <c r="U14" i="10"/>
  <c r="Q14" i="10"/>
  <c r="I14" i="10"/>
  <c r="G14" i="10" s="1"/>
  <c r="D21" i="6"/>
  <c r="D19" i="6" s="1"/>
  <c r="F19" i="6"/>
  <c r="C19" i="6"/>
  <c r="F17" i="6"/>
  <c r="F12" i="6" s="1"/>
  <c r="E17" i="6"/>
  <c r="E12" i="6" s="1"/>
  <c r="E34" i="6" s="1"/>
  <c r="D17" i="6"/>
  <c r="D12" i="6" s="1"/>
  <c r="C12" i="6"/>
  <c r="C15" i="27"/>
  <c r="E59" i="27"/>
  <c r="C59" i="27"/>
  <c r="E15" i="27"/>
  <c r="F12" i="19"/>
  <c r="F17" i="19" s="1"/>
  <c r="D12" i="19"/>
  <c r="D17" i="19" s="1"/>
  <c r="D17" i="8"/>
  <c r="E17" i="8"/>
  <c r="F17" i="8"/>
  <c r="C17" i="8"/>
  <c r="F12" i="3"/>
  <c r="F18" i="26"/>
  <c r="E18" i="26"/>
  <c r="C18" i="26"/>
  <c r="D18" i="26"/>
  <c r="I29" i="26"/>
  <c r="D17" i="26"/>
  <c r="D25" i="4"/>
  <c r="F25" i="4"/>
  <c r="C25" i="4"/>
  <c r="L19" i="1" l="1"/>
  <c r="M35" i="15"/>
  <c r="M19" i="1" s="1"/>
  <c r="C83" i="23"/>
  <c r="F34" i="6"/>
  <c r="D83" i="23"/>
  <c r="E83" i="23"/>
  <c r="F83" i="23"/>
  <c r="C34" i="6"/>
  <c r="D34" i="6"/>
  <c r="F21" i="19"/>
  <c r="D21" i="19"/>
  <c r="I13" i="16"/>
  <c r="K15" i="19" l="1"/>
  <c r="I24" i="15"/>
  <c r="K14" i="4"/>
  <c r="K12" i="4" s="1"/>
  <c r="G18" i="28" l="1"/>
  <c r="G17" i="28"/>
  <c r="F11" i="28"/>
  <c r="F20" i="28" s="1"/>
  <c r="E11" i="28"/>
  <c r="E20" i="28" s="1"/>
  <c r="D11" i="28"/>
  <c r="C11" i="28"/>
  <c r="D14" i="28"/>
  <c r="C14" i="28"/>
  <c r="K39" i="23"/>
  <c r="L15" i="19"/>
  <c r="J24" i="15"/>
  <c r="L15" i="14"/>
  <c r="K15" i="14"/>
  <c r="L14" i="14"/>
  <c r="K14" i="12"/>
  <c r="L22" i="6"/>
  <c r="K22" i="6"/>
  <c r="L21" i="6"/>
  <c r="L15" i="6"/>
  <c r="K15" i="6"/>
  <c r="L14" i="6"/>
  <c r="K15" i="5"/>
  <c r="L14" i="4"/>
  <c r="J15" i="5"/>
  <c r="C12" i="16"/>
  <c r="C20" i="28" l="1"/>
  <c r="D20" i="28"/>
  <c r="G31" i="6"/>
  <c r="G30" i="6"/>
  <c r="E12" i="19"/>
  <c r="E21" i="19" s="1"/>
  <c r="C12" i="19"/>
  <c r="C21" i="19" s="1"/>
  <c r="F20" i="10"/>
  <c r="E20" i="10"/>
  <c r="D20" i="10"/>
  <c r="C20" i="10"/>
  <c r="F12" i="10"/>
  <c r="E12" i="10"/>
  <c r="D12" i="10"/>
  <c r="C12" i="10"/>
  <c r="E13" i="27"/>
  <c r="E12" i="27" s="1"/>
  <c r="C13" i="27"/>
  <c r="C12" i="27" s="1"/>
  <c r="G55" i="27"/>
  <c r="G54" i="27"/>
  <c r="G53" i="27"/>
  <c r="G52" i="27"/>
  <c r="G51" i="27"/>
  <c r="G49" i="27"/>
  <c r="G48" i="27"/>
  <c r="G47" i="27"/>
  <c r="G46" i="27"/>
  <c r="G45" i="27"/>
  <c r="G44" i="27"/>
  <c r="G43" i="27"/>
  <c r="G42" i="27"/>
  <c r="G40" i="27"/>
  <c r="G39" i="27"/>
  <c r="G38" i="27"/>
  <c r="G37" i="27"/>
  <c r="G36" i="27"/>
  <c r="G35" i="27"/>
  <c r="G34" i="27"/>
  <c r="G33" i="27"/>
  <c r="G31" i="27"/>
  <c r="G30" i="27"/>
  <c r="G29" i="27"/>
  <c r="G28" i="27"/>
  <c r="G27" i="27"/>
  <c r="G26" i="27"/>
  <c r="G25" i="27"/>
  <c r="G24" i="27"/>
  <c r="G22" i="27"/>
  <c r="G21" i="27"/>
  <c r="G20" i="27"/>
  <c r="G19" i="27"/>
  <c r="G18" i="27"/>
  <c r="G14" i="27"/>
  <c r="F13" i="27"/>
  <c r="F12" i="27" s="1"/>
  <c r="D13" i="27"/>
  <c r="D12" i="27" s="1"/>
  <c r="F18" i="2"/>
  <c r="E18" i="2"/>
  <c r="D18" i="2"/>
  <c r="C18" i="2"/>
  <c r="F26" i="3"/>
  <c r="E26" i="3"/>
  <c r="D26" i="3"/>
  <c r="C26" i="3"/>
  <c r="E19" i="4"/>
  <c r="D19" i="4"/>
  <c r="C19" i="4"/>
  <c r="E23" i="4"/>
  <c r="E25" i="4" s="1"/>
  <c r="E15" i="4"/>
  <c r="C15" i="4"/>
  <c r="F15" i="4"/>
  <c r="D15" i="4"/>
  <c r="F58" i="27"/>
  <c r="D58" i="27"/>
  <c r="E58" i="27"/>
  <c r="C58" i="27"/>
  <c r="F14" i="7"/>
  <c r="E14" i="7"/>
  <c r="D14" i="7"/>
  <c r="F12" i="7"/>
  <c r="E12" i="7"/>
  <c r="D12" i="7"/>
  <c r="C14" i="7"/>
  <c r="C12" i="7"/>
  <c r="G14" i="8"/>
  <c r="F12" i="13"/>
  <c r="F16" i="13" s="1"/>
  <c r="E12" i="13"/>
  <c r="E16" i="13" s="1"/>
  <c r="D12" i="13"/>
  <c r="D16" i="13" s="1"/>
  <c r="C12" i="13"/>
  <c r="C16" i="13" s="1"/>
  <c r="C22" i="14"/>
  <c r="F18" i="14"/>
  <c r="E18" i="14"/>
  <c r="E22" i="14" s="1"/>
  <c r="D18" i="14"/>
  <c r="F12" i="14"/>
  <c r="D12" i="14"/>
  <c r="G19" i="14"/>
  <c r="F16" i="20"/>
  <c r="E16" i="20"/>
  <c r="D16" i="20"/>
  <c r="C16" i="20"/>
  <c r="F12" i="21"/>
  <c r="F16" i="21" s="1"/>
  <c r="E12" i="21"/>
  <c r="E16" i="21" s="1"/>
  <c r="D12" i="21"/>
  <c r="D16" i="21" s="1"/>
  <c r="C12" i="21"/>
  <c r="C16" i="21" s="1"/>
  <c r="G13" i="21"/>
  <c r="C30" i="26"/>
  <c r="F30" i="26"/>
  <c r="E30" i="26"/>
  <c r="D30" i="26"/>
  <c r="F17" i="26"/>
  <c r="E17" i="26"/>
  <c r="C17" i="26"/>
  <c r="F16" i="29"/>
  <c r="E16" i="29"/>
  <c r="J16" i="16"/>
  <c r="I16" i="16"/>
  <c r="I12" i="16" s="1"/>
  <c r="G24" i="3"/>
  <c r="G23" i="3"/>
  <c r="D21" i="16"/>
  <c r="C21" i="16"/>
  <c r="D28" i="15"/>
  <c r="C28" i="15"/>
  <c r="C39" i="9"/>
  <c r="D20" i="15"/>
  <c r="C20" i="15"/>
  <c r="E20" i="22"/>
  <c r="C20" i="22"/>
  <c r="E18" i="22"/>
  <c r="C18" i="22"/>
  <c r="E16" i="22"/>
  <c r="C16" i="22"/>
  <c r="D12" i="15"/>
  <c r="C12" i="15"/>
  <c r="D23" i="16"/>
  <c r="D12" i="16" s="1"/>
  <c r="D24" i="16"/>
  <c r="C24" i="16"/>
  <c r="C27" i="16" s="1"/>
  <c r="F18" i="25"/>
  <c r="D18" i="25"/>
  <c r="F15" i="25"/>
  <c r="D15" i="25"/>
  <c r="C39" i="18"/>
  <c r="F12" i="25"/>
  <c r="D12" i="25"/>
  <c r="D21" i="25" s="1"/>
  <c r="G17" i="17"/>
  <c r="E18" i="17"/>
  <c r="C18" i="17"/>
  <c r="C14" i="17"/>
  <c r="E12" i="17"/>
  <c r="C12" i="17"/>
  <c r="G16" i="25"/>
  <c r="G14" i="25"/>
  <c r="G13" i="25"/>
  <c r="L44" i="27"/>
  <c r="L43" i="27"/>
  <c r="L42" i="27"/>
  <c r="K44" i="27"/>
  <c r="K43" i="27"/>
  <c r="K42" i="27"/>
  <c r="K49" i="27"/>
  <c r="K48" i="27"/>
  <c r="K47" i="27"/>
  <c r="K46" i="27"/>
  <c r="K45" i="27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23" i="27"/>
  <c r="F21" i="25" l="1"/>
  <c r="F22" i="14"/>
  <c r="F63" i="27"/>
  <c r="D63" i="27"/>
  <c r="E32" i="22"/>
  <c r="E21" i="17"/>
  <c r="C21" i="17"/>
  <c r="F17" i="7"/>
  <c r="C17" i="7"/>
  <c r="E39" i="10"/>
  <c r="D17" i="7"/>
  <c r="E17" i="7"/>
  <c r="C39" i="10"/>
  <c r="D39" i="10"/>
  <c r="D22" i="14"/>
  <c r="C32" i="22"/>
  <c r="C35" i="15"/>
  <c r="C63" i="27"/>
  <c r="D27" i="16"/>
  <c r="D35" i="15"/>
  <c r="E63" i="27"/>
  <c r="F39" i="10"/>
  <c r="U17" i="26" l="1"/>
  <c r="Q17" i="26"/>
  <c r="I17" i="26"/>
  <c r="G17" i="26" s="1"/>
  <c r="U16" i="26"/>
  <c r="Q16" i="26"/>
  <c r="L16" i="26"/>
  <c r="I16" i="26"/>
  <c r="G16" i="26" s="1"/>
  <c r="W15" i="26"/>
  <c r="U15" i="26" s="1"/>
  <c r="S15" i="26"/>
  <c r="Q15" i="26" s="1"/>
  <c r="K15" i="26"/>
  <c r="J15" i="26"/>
  <c r="W14" i="26"/>
  <c r="V14" i="26"/>
  <c r="T14" i="26"/>
  <c r="S14" i="26"/>
  <c r="R14" i="26"/>
  <c r="P14" i="26"/>
  <c r="J14" i="26"/>
  <c r="H14" i="26"/>
  <c r="Q14" i="26" l="1"/>
  <c r="U14" i="26"/>
  <c r="I14" i="26"/>
  <c r="G14" i="26" s="1"/>
  <c r="I15" i="26"/>
  <c r="G15" i="26" s="1"/>
  <c r="V63" i="27"/>
  <c r="T27" i="1" s="1"/>
  <c r="R63" i="27"/>
  <c r="P27" i="1" s="1"/>
  <c r="U61" i="27"/>
  <c r="Q61" i="27"/>
  <c r="I61" i="27"/>
  <c r="G61" i="27" s="1"/>
  <c r="U60" i="27"/>
  <c r="Q60" i="27"/>
  <c r="I60" i="27"/>
  <c r="G60" i="27" s="1"/>
  <c r="U59" i="27"/>
  <c r="Q59" i="27"/>
  <c r="I59" i="27"/>
  <c r="G59" i="27" s="1"/>
  <c r="L58" i="27"/>
  <c r="K58" i="27"/>
  <c r="H58" i="27"/>
  <c r="U57" i="27"/>
  <c r="Q57" i="27"/>
  <c r="I57" i="27"/>
  <c r="L56" i="27"/>
  <c r="K56" i="27"/>
  <c r="H56" i="27"/>
  <c r="L55" i="27"/>
  <c r="U50" i="27"/>
  <c r="Q50" i="27"/>
  <c r="I50" i="27"/>
  <c r="G50" i="27" s="1"/>
  <c r="L49" i="27"/>
  <c r="L48" i="27"/>
  <c r="L47" i="27"/>
  <c r="L46" i="27"/>
  <c r="L45" i="27"/>
  <c r="W44" i="27"/>
  <c r="S44" i="27"/>
  <c r="W43" i="27"/>
  <c r="S43" i="27"/>
  <c r="W42" i="27"/>
  <c r="S42" i="27"/>
  <c r="K41" i="27"/>
  <c r="W32" i="27"/>
  <c r="U32" i="27" s="1"/>
  <c r="S32" i="27"/>
  <c r="Q32" i="27" s="1"/>
  <c r="I32" i="27"/>
  <c r="G32" i="27" s="1"/>
  <c r="U31" i="27"/>
  <c r="Q31" i="27"/>
  <c r="U30" i="27"/>
  <c r="Q30" i="27"/>
  <c r="U29" i="27"/>
  <c r="Q29" i="27"/>
  <c r="U28" i="27"/>
  <c r="Q28" i="27"/>
  <c r="U27" i="27"/>
  <c r="Q27" i="27"/>
  <c r="U26" i="27"/>
  <c r="Q26" i="27"/>
  <c r="U25" i="27"/>
  <c r="Q25" i="27"/>
  <c r="U24" i="27"/>
  <c r="Q24" i="27"/>
  <c r="U23" i="27"/>
  <c r="S23" i="27"/>
  <c r="Q23" i="27" s="1"/>
  <c r="I23" i="27"/>
  <c r="G23" i="27" s="1"/>
  <c r="U22" i="27"/>
  <c r="Q22" i="27"/>
  <c r="U21" i="27"/>
  <c r="Q21" i="27"/>
  <c r="U20" i="27"/>
  <c r="Q20" i="27"/>
  <c r="U19" i="27"/>
  <c r="Q19" i="27"/>
  <c r="U18" i="27"/>
  <c r="Q18" i="27"/>
  <c r="U17" i="27"/>
  <c r="S17" i="27"/>
  <c r="Q17" i="27" s="1"/>
  <c r="I17" i="27"/>
  <c r="G17" i="27" s="1"/>
  <c r="U16" i="27"/>
  <c r="Q16" i="27"/>
  <c r="I16" i="27"/>
  <c r="G16" i="27" s="1"/>
  <c r="V15" i="27"/>
  <c r="R15" i="27"/>
  <c r="J15" i="27"/>
  <c r="J63" i="27" s="1"/>
  <c r="H27" i="1" s="1"/>
  <c r="T13" i="27"/>
  <c r="T12" i="27" s="1"/>
  <c r="T63" i="27" s="1"/>
  <c r="R27" i="1" s="1"/>
  <c r="P13" i="27"/>
  <c r="P12" i="27" s="1"/>
  <c r="P63" i="27" s="1"/>
  <c r="N27" i="1" s="1"/>
  <c r="H13" i="27"/>
  <c r="W41" i="27" l="1"/>
  <c r="U41" i="27" s="1"/>
  <c r="S41" i="27"/>
  <c r="Q41" i="27" s="1"/>
  <c r="H12" i="27"/>
  <c r="H63" i="27" s="1"/>
  <c r="G13" i="27"/>
  <c r="I56" i="27"/>
  <c r="G56" i="27" s="1"/>
  <c r="G57" i="27"/>
  <c r="I58" i="27"/>
  <c r="G58" i="27" s="1"/>
  <c r="W15" i="27"/>
  <c r="W13" i="27" s="1"/>
  <c r="W12" i="27" s="1"/>
  <c r="W63" i="27" s="1"/>
  <c r="U27" i="1" s="1"/>
  <c r="L41" i="27"/>
  <c r="L15" i="27" s="1"/>
  <c r="I41" i="27"/>
  <c r="G41" i="27" s="1"/>
  <c r="K15" i="27"/>
  <c r="I15" i="27" s="1"/>
  <c r="S15" i="27"/>
  <c r="S13" i="27" s="1"/>
  <c r="S12" i="27" s="1"/>
  <c r="S63" i="27" s="1"/>
  <c r="Q27" i="1" s="1"/>
  <c r="I12" i="27" l="1"/>
  <c r="I63" i="27" s="1"/>
  <c r="G27" i="1" s="1"/>
  <c r="G15" i="27"/>
  <c r="F27" i="1"/>
  <c r="U15" i="27"/>
  <c r="U13" i="27" s="1"/>
  <c r="U12" i="27" s="1"/>
  <c r="U63" i="27" s="1"/>
  <c r="S27" i="1" s="1"/>
  <c r="L12" i="27"/>
  <c r="L63" i="27" s="1"/>
  <c r="J27" i="1" s="1"/>
  <c r="L13" i="27"/>
  <c r="Q15" i="27"/>
  <c r="Q13" i="27" s="1"/>
  <c r="Q12" i="27" s="1"/>
  <c r="Q63" i="27" s="1"/>
  <c r="O27" i="1" s="1"/>
  <c r="K13" i="27"/>
  <c r="K12" i="27"/>
  <c r="K63" i="27" s="1"/>
  <c r="I27" i="1" s="1"/>
  <c r="L13" i="25"/>
  <c r="O13" i="25" s="1"/>
  <c r="O21" i="25" s="1"/>
  <c r="M25" i="1" s="1"/>
  <c r="E27" i="1" l="1"/>
  <c r="G12" i="27"/>
  <c r="G63" i="27"/>
  <c r="W15" i="19"/>
  <c r="U15" i="19" s="1"/>
  <c r="S15" i="19"/>
  <c r="Q15" i="19" s="1"/>
  <c r="U14" i="19"/>
  <c r="Q14" i="19"/>
  <c r="W12" i="19" l="1"/>
  <c r="V12" i="19"/>
  <c r="T12" i="19"/>
  <c r="S12" i="19"/>
  <c r="R12" i="19"/>
  <c r="P12" i="19"/>
  <c r="K12" i="19"/>
  <c r="J12" i="19"/>
  <c r="H12" i="19"/>
  <c r="L26" i="3" l="1"/>
  <c r="J11" i="1" s="1"/>
  <c r="L19" i="6"/>
  <c r="P14" i="12"/>
  <c r="W18" i="2"/>
  <c r="V18" i="2"/>
  <c r="T18" i="2"/>
  <c r="S18" i="2"/>
  <c r="R18" i="2"/>
  <c r="P18" i="2"/>
  <c r="H18" i="2"/>
  <c r="L18" i="2"/>
  <c r="K18" i="2"/>
  <c r="J18" i="2"/>
  <c r="V22" i="22"/>
  <c r="T22" i="22"/>
  <c r="R22" i="22"/>
  <c r="P22" i="22"/>
  <c r="L22" i="22"/>
  <c r="J22" i="22"/>
  <c r="H22" i="22"/>
  <c r="U13" i="28"/>
  <c r="Q13" i="28"/>
  <c r="Q12" i="28"/>
  <c r="I12" i="28"/>
  <c r="G12" i="28" s="1"/>
  <c r="I13" i="28"/>
  <c r="G13" i="28" s="1"/>
  <c r="J11" i="28"/>
  <c r="K11" i="28"/>
  <c r="L11" i="28"/>
  <c r="H11" i="28"/>
  <c r="V11" i="28"/>
  <c r="W11" i="28"/>
  <c r="T11" i="28"/>
  <c r="Q12" i="12"/>
  <c r="R12" i="12"/>
  <c r="S12" i="12"/>
  <c r="U12" i="12"/>
  <c r="V12" i="12"/>
  <c r="O12" i="12"/>
  <c r="I12" i="12"/>
  <c r="J12" i="12"/>
  <c r="K12" i="12"/>
  <c r="K21" i="12" s="1"/>
  <c r="J17" i="1" s="1"/>
  <c r="G12" i="12"/>
  <c r="G21" i="12" s="1"/>
  <c r="F17" i="1" s="1"/>
  <c r="T15" i="12"/>
  <c r="P15" i="12"/>
  <c r="H14" i="12"/>
  <c r="T16" i="12"/>
  <c r="P16" i="12"/>
  <c r="H16" i="12"/>
  <c r="H15" i="12"/>
  <c r="T14" i="12"/>
  <c r="T13" i="12"/>
  <c r="P13" i="12"/>
  <c r="H13" i="12"/>
  <c r="I17" i="12"/>
  <c r="J17" i="12"/>
  <c r="O17" i="12"/>
  <c r="Q17" i="12"/>
  <c r="R17" i="12"/>
  <c r="S17" i="12"/>
  <c r="U17" i="12"/>
  <c r="V17" i="12"/>
  <c r="H18" i="12"/>
  <c r="P18" i="12"/>
  <c r="T18" i="12"/>
  <c r="P19" i="12"/>
  <c r="T19" i="12"/>
  <c r="P17" i="12" l="1"/>
  <c r="U21" i="12"/>
  <c r="T17" i="1" s="1"/>
  <c r="Q21" i="12"/>
  <c r="J21" i="12"/>
  <c r="I17" i="1" s="1"/>
  <c r="I21" i="12"/>
  <c r="H17" i="1" s="1"/>
  <c r="S21" i="12"/>
  <c r="O21" i="12"/>
  <c r="R21" i="12"/>
  <c r="V21" i="12"/>
  <c r="T12" i="12"/>
  <c r="P12" i="12"/>
  <c r="H12" i="12"/>
  <c r="I11" i="28"/>
  <c r="G11" i="28" s="1"/>
  <c r="T17" i="12"/>
  <c r="H17" i="12"/>
  <c r="R11" i="28"/>
  <c r="S11" i="28"/>
  <c r="S20" i="28" s="1"/>
  <c r="T20" i="28"/>
  <c r="P11" i="28"/>
  <c r="P20" i="28" s="1"/>
  <c r="V20" i="28"/>
  <c r="W20" i="28"/>
  <c r="L20" i="28"/>
  <c r="U12" i="28"/>
  <c r="U11" i="28" s="1"/>
  <c r="K17" i="1"/>
  <c r="R17" i="1"/>
  <c r="W14" i="22"/>
  <c r="W12" i="22" s="1"/>
  <c r="S19" i="22"/>
  <c r="Q16" i="2"/>
  <c r="Q17" i="2"/>
  <c r="U16" i="2"/>
  <c r="U17" i="2"/>
  <c r="I17" i="2"/>
  <c r="U12" i="8"/>
  <c r="Q12" i="8"/>
  <c r="I12" i="8"/>
  <c r="G12" i="8" s="1"/>
  <c r="U15" i="28"/>
  <c r="Q15" i="28"/>
  <c r="K14" i="28"/>
  <c r="K20" i="28" s="1"/>
  <c r="J14" i="28"/>
  <c r="J20" i="28" s="1"/>
  <c r="H14" i="28"/>
  <c r="I15" i="28"/>
  <c r="G15" i="28" s="1"/>
  <c r="H20" i="28" l="1"/>
  <c r="G17" i="2"/>
  <c r="P21" i="12"/>
  <c r="O17" i="1" s="1"/>
  <c r="P17" i="1"/>
  <c r="N17" i="1"/>
  <c r="U17" i="1"/>
  <c r="Q17" i="1"/>
  <c r="H21" i="12"/>
  <c r="G17" i="1" s="1"/>
  <c r="T21" i="12"/>
  <c r="Q11" i="28"/>
  <c r="R20" i="28"/>
  <c r="S17" i="1" l="1"/>
  <c r="E17" i="1"/>
  <c r="U14" i="28"/>
  <c r="U20" i="28" s="1"/>
  <c r="Q14" i="28"/>
  <c r="Q20" i="28" s="1"/>
  <c r="I14" i="28"/>
  <c r="K14" i="22"/>
  <c r="I14" i="22" s="1"/>
  <c r="G14" i="22" s="1"/>
  <c r="K24" i="22"/>
  <c r="I20" i="28" l="1"/>
  <c r="G14" i="28"/>
  <c r="R15" i="16"/>
  <c r="N15" i="16"/>
  <c r="F15" i="16"/>
  <c r="W16" i="20"/>
  <c r="V16" i="20"/>
  <c r="T16" i="20"/>
  <c r="S16" i="20"/>
  <c r="R16" i="20"/>
  <c r="P16" i="20"/>
  <c r="M16" i="20"/>
  <c r="L16" i="20"/>
  <c r="K16" i="20"/>
  <c r="J16" i="20"/>
  <c r="H16" i="20"/>
  <c r="U14" i="20"/>
  <c r="Q14" i="20"/>
  <c r="I14" i="20"/>
  <c r="G14" i="20" s="1"/>
  <c r="K25" i="1"/>
  <c r="K24" i="1"/>
  <c r="K23" i="1"/>
  <c r="K15" i="1"/>
  <c r="K19" i="1"/>
  <c r="K20" i="1"/>
  <c r="U13" i="22"/>
  <c r="U14" i="22"/>
  <c r="U17" i="22"/>
  <c r="U19" i="22"/>
  <c r="U21" i="22"/>
  <c r="U23" i="22"/>
  <c r="U26" i="22"/>
  <c r="U27" i="22"/>
  <c r="Q17" i="22"/>
  <c r="Q19" i="22"/>
  <c r="Q21" i="22"/>
  <c r="Q23" i="22"/>
  <c r="Q26" i="22"/>
  <c r="Q27" i="22"/>
  <c r="I21" i="22"/>
  <c r="G21" i="22" s="1"/>
  <c r="I23" i="22"/>
  <c r="G23" i="22" s="1"/>
  <c r="I24" i="22"/>
  <c r="G24" i="22" s="1"/>
  <c r="I26" i="22"/>
  <c r="G26" i="22" s="1"/>
  <c r="V80" i="23"/>
  <c r="U80" i="23"/>
  <c r="R80" i="23"/>
  <c r="Q80" i="23"/>
  <c r="P81" i="23"/>
  <c r="V74" i="23"/>
  <c r="U74" i="23"/>
  <c r="T76" i="23"/>
  <c r="T77" i="23"/>
  <c r="T78" i="23"/>
  <c r="T79" i="23"/>
  <c r="T75" i="23"/>
  <c r="R74" i="23"/>
  <c r="Q74" i="23"/>
  <c r="P76" i="23"/>
  <c r="P77" i="23"/>
  <c r="P78" i="23"/>
  <c r="P79" i="23"/>
  <c r="P75" i="23"/>
  <c r="T68" i="23"/>
  <c r="T69" i="23"/>
  <c r="T70" i="23"/>
  <c r="T71" i="23"/>
  <c r="T72" i="23"/>
  <c r="T67" i="23"/>
  <c r="Q66" i="23"/>
  <c r="S66" i="23"/>
  <c r="U66" i="23"/>
  <c r="P68" i="23"/>
  <c r="P69" i="23"/>
  <c r="P70" i="23"/>
  <c r="P71" i="23"/>
  <c r="P72" i="23"/>
  <c r="P67" i="23"/>
  <c r="S37" i="23"/>
  <c r="U37" i="23"/>
  <c r="V37" i="23"/>
  <c r="T40" i="23"/>
  <c r="T41" i="23"/>
  <c r="T42" i="23"/>
  <c r="T43" i="23"/>
  <c r="T44" i="23"/>
  <c r="T45" i="23"/>
  <c r="T46" i="23"/>
  <c r="T47" i="23"/>
  <c r="T48" i="23"/>
  <c r="T49" i="23"/>
  <c r="T50" i="23"/>
  <c r="T51" i="23"/>
  <c r="T52" i="23"/>
  <c r="T53" i="23"/>
  <c r="T54" i="23"/>
  <c r="T55" i="23"/>
  <c r="T56" i="23"/>
  <c r="T57" i="23"/>
  <c r="T58" i="23"/>
  <c r="T59" i="23"/>
  <c r="T60" i="23"/>
  <c r="T61" i="23"/>
  <c r="T62" i="23"/>
  <c r="T63" i="23"/>
  <c r="T64" i="23"/>
  <c r="T65" i="23"/>
  <c r="T39" i="23"/>
  <c r="Q37" i="23"/>
  <c r="R37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4" i="23"/>
  <c r="P65" i="23"/>
  <c r="P39" i="23"/>
  <c r="V32" i="23"/>
  <c r="R32" i="23"/>
  <c r="U32" i="23"/>
  <c r="Q32" i="23"/>
  <c r="U27" i="23"/>
  <c r="U25" i="23" s="1"/>
  <c r="T25" i="23" s="1"/>
  <c r="R27" i="23"/>
  <c r="Q27" i="23"/>
  <c r="Q25" i="23" s="1"/>
  <c r="P25" i="23" s="1"/>
  <c r="V21" i="23"/>
  <c r="U21" i="23"/>
  <c r="R21" i="23"/>
  <c r="Q21" i="23"/>
  <c r="T19" i="23"/>
  <c r="T20" i="23"/>
  <c r="T18" i="23"/>
  <c r="P19" i="23"/>
  <c r="P20" i="23"/>
  <c r="P18" i="23"/>
  <c r="V12" i="23"/>
  <c r="U12" i="23"/>
  <c r="S12" i="23"/>
  <c r="O12" i="23"/>
  <c r="R12" i="23"/>
  <c r="Q12" i="23"/>
  <c r="K74" i="23"/>
  <c r="J80" i="23"/>
  <c r="K80" i="23"/>
  <c r="I80" i="23"/>
  <c r="H81" i="23"/>
  <c r="H76" i="23"/>
  <c r="H77" i="23"/>
  <c r="H78" i="23"/>
  <c r="H79" i="23"/>
  <c r="H75" i="23"/>
  <c r="J74" i="23"/>
  <c r="I74" i="23"/>
  <c r="H68" i="23"/>
  <c r="H69" i="23"/>
  <c r="H70" i="23"/>
  <c r="H71" i="23"/>
  <c r="H72" i="23"/>
  <c r="H73" i="23"/>
  <c r="H67" i="23"/>
  <c r="K66" i="23"/>
  <c r="J66" i="23"/>
  <c r="I66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34" i="23"/>
  <c r="H35" i="23"/>
  <c r="H36" i="23"/>
  <c r="H33" i="23"/>
  <c r="H29" i="23"/>
  <c r="H30" i="23"/>
  <c r="H31" i="23"/>
  <c r="H28" i="23"/>
  <c r="H23" i="23"/>
  <c r="H24" i="23"/>
  <c r="H19" i="23"/>
  <c r="H20" i="23"/>
  <c r="H39" i="23"/>
  <c r="K37" i="23"/>
  <c r="V73" i="23"/>
  <c r="T73" i="23" s="1"/>
  <c r="R73" i="23"/>
  <c r="R66" i="23" s="1"/>
  <c r="O37" i="23"/>
  <c r="G37" i="23"/>
  <c r="T36" i="23"/>
  <c r="P36" i="23"/>
  <c r="T35" i="23"/>
  <c r="P35" i="23"/>
  <c r="T34" i="23"/>
  <c r="P34" i="23"/>
  <c r="T33" i="23"/>
  <c r="P33" i="23"/>
  <c r="K32" i="23"/>
  <c r="J32" i="23"/>
  <c r="H32" i="23" s="1"/>
  <c r="V27" i="23"/>
  <c r="K27" i="23"/>
  <c r="H27" i="23"/>
  <c r="H25" i="23"/>
  <c r="T24" i="23"/>
  <c r="P24" i="23"/>
  <c r="T23" i="23"/>
  <c r="P23" i="23"/>
  <c r="T22" i="23"/>
  <c r="P22" i="23"/>
  <c r="K22" i="23"/>
  <c r="K21" i="23" s="1"/>
  <c r="H22" i="23"/>
  <c r="J21" i="23"/>
  <c r="H21" i="23" s="1"/>
  <c r="H18" i="23"/>
  <c r="V17" i="23"/>
  <c r="U17" i="23"/>
  <c r="R17" i="23"/>
  <c r="Q17" i="23"/>
  <c r="K17" i="23"/>
  <c r="J17" i="23"/>
  <c r="I17" i="23"/>
  <c r="T15" i="23"/>
  <c r="H15" i="23"/>
  <c r="T14" i="23"/>
  <c r="P14" i="23"/>
  <c r="J14" i="23"/>
  <c r="G14" i="23"/>
  <c r="G12" i="23" s="1"/>
  <c r="G83" i="23" s="1"/>
  <c r="F24" i="1" s="1"/>
  <c r="T13" i="23"/>
  <c r="P13" i="23"/>
  <c r="H13" i="23"/>
  <c r="I12" i="23"/>
  <c r="U13" i="20"/>
  <c r="U12" i="20"/>
  <c r="Q13" i="20"/>
  <c r="Q12" i="20"/>
  <c r="I13" i="20"/>
  <c r="G13" i="20" s="1"/>
  <c r="I12" i="20"/>
  <c r="G12" i="20" s="1"/>
  <c r="P80" i="23" l="1"/>
  <c r="J12" i="23"/>
  <c r="M83" i="23"/>
  <c r="L24" i="1" s="1"/>
  <c r="S83" i="23"/>
  <c r="G20" i="28"/>
  <c r="P27" i="23"/>
  <c r="T21" i="23"/>
  <c r="T32" i="23"/>
  <c r="T74" i="23"/>
  <c r="P17" i="23"/>
  <c r="T12" i="23"/>
  <c r="P74" i="23"/>
  <c r="H80" i="23"/>
  <c r="O83" i="23"/>
  <c r="N24" i="1" s="1"/>
  <c r="Q16" i="20"/>
  <c r="T27" i="23"/>
  <c r="T80" i="23"/>
  <c r="R24" i="1"/>
  <c r="I16" i="20"/>
  <c r="U16" i="20"/>
  <c r="T17" i="23"/>
  <c r="P21" i="23"/>
  <c r="P32" i="23"/>
  <c r="T37" i="23"/>
  <c r="U12" i="22"/>
  <c r="R83" i="23"/>
  <c r="K83" i="23"/>
  <c r="J24" i="1" s="1"/>
  <c r="P37" i="23"/>
  <c r="P73" i="23"/>
  <c r="P66" i="23" s="1"/>
  <c r="V66" i="23"/>
  <c r="V83" i="23" s="1"/>
  <c r="U83" i="23"/>
  <c r="Q83" i="23"/>
  <c r="P12" i="23"/>
  <c r="T66" i="23"/>
  <c r="H17" i="23"/>
  <c r="I37" i="23"/>
  <c r="I83" i="23" s="1"/>
  <c r="H24" i="1" s="1"/>
  <c r="H74" i="23"/>
  <c r="H66" i="23"/>
  <c r="J37" i="23"/>
  <c r="J83" i="23" s="1"/>
  <c r="I24" i="1" s="1"/>
  <c r="H12" i="23"/>
  <c r="H14" i="23"/>
  <c r="G16" i="20" l="1"/>
  <c r="T83" i="23"/>
  <c r="S24" i="1" s="1"/>
  <c r="T24" i="1"/>
  <c r="U24" i="1"/>
  <c r="Q24" i="1"/>
  <c r="P24" i="1"/>
  <c r="H37" i="23"/>
  <c r="H83" i="23" s="1"/>
  <c r="G24" i="1" s="1"/>
  <c r="P83" i="23"/>
  <c r="K27" i="1"/>
  <c r="K21" i="1"/>
  <c r="K11" i="1"/>
  <c r="K18" i="26"/>
  <c r="S18" i="26"/>
  <c r="W18" i="26"/>
  <c r="W12" i="26"/>
  <c r="W30" i="26" s="1"/>
  <c r="V12" i="26"/>
  <c r="T12" i="26"/>
  <c r="T30" i="26" s="1"/>
  <c r="S12" i="26"/>
  <c r="S30" i="26" s="1"/>
  <c r="R12" i="26"/>
  <c r="P12" i="26"/>
  <c r="L12" i="26"/>
  <c r="K12" i="26"/>
  <c r="J12" i="26"/>
  <c r="H18" i="26"/>
  <c r="H12" i="26"/>
  <c r="T16" i="16"/>
  <c r="R16" i="16"/>
  <c r="P16" i="16"/>
  <c r="N16" i="16"/>
  <c r="H16" i="16"/>
  <c r="F16" i="16"/>
  <c r="U13" i="26"/>
  <c r="Q13" i="26"/>
  <c r="Q28" i="26"/>
  <c r="V18" i="26"/>
  <c r="R18" i="26"/>
  <c r="O24" i="1" l="1"/>
  <c r="E24" i="1"/>
  <c r="Q18" i="26"/>
  <c r="U18" i="26"/>
  <c r="U12" i="26"/>
  <c r="Q12" i="26"/>
  <c r="P30" i="26"/>
  <c r="V30" i="26"/>
  <c r="R30" i="26"/>
  <c r="K27" i="22"/>
  <c r="I27" i="22" s="1"/>
  <c r="G27" i="22" s="1"/>
  <c r="W25" i="22"/>
  <c r="U25" i="22" s="1"/>
  <c r="S25" i="22"/>
  <c r="Q25" i="22" s="1"/>
  <c r="K25" i="22"/>
  <c r="W24" i="22"/>
  <c r="S24" i="22"/>
  <c r="W20" i="22"/>
  <c r="V20" i="22"/>
  <c r="T20" i="22"/>
  <c r="S20" i="22"/>
  <c r="R20" i="22"/>
  <c r="P20" i="22"/>
  <c r="L20" i="22"/>
  <c r="K20" i="22"/>
  <c r="J20" i="22"/>
  <c r="H20" i="22"/>
  <c r="L19" i="22"/>
  <c r="K19" i="22"/>
  <c r="I19" i="22" s="1"/>
  <c r="G19" i="22" s="1"/>
  <c r="W18" i="22"/>
  <c r="V18" i="22"/>
  <c r="T18" i="22"/>
  <c r="S18" i="22"/>
  <c r="R18" i="22"/>
  <c r="P18" i="22"/>
  <c r="J18" i="22"/>
  <c r="H18" i="22"/>
  <c r="I17" i="22"/>
  <c r="G17" i="22" s="1"/>
  <c r="W16" i="22"/>
  <c r="V16" i="22"/>
  <c r="T16" i="22"/>
  <c r="S16" i="22"/>
  <c r="R16" i="22"/>
  <c r="P16" i="22"/>
  <c r="L16" i="22"/>
  <c r="K16" i="22"/>
  <c r="J16" i="22"/>
  <c r="H16" i="22"/>
  <c r="Q14" i="22"/>
  <c r="L14" i="22"/>
  <c r="Q13" i="22"/>
  <c r="I13" i="22"/>
  <c r="G13" i="22" s="1"/>
  <c r="V12" i="22"/>
  <c r="T12" i="22"/>
  <c r="S12" i="22"/>
  <c r="R12" i="22"/>
  <c r="P12" i="22"/>
  <c r="L12" i="22"/>
  <c r="K12" i="22"/>
  <c r="J12" i="22"/>
  <c r="H12" i="22"/>
  <c r="R21" i="11"/>
  <c r="N21" i="11"/>
  <c r="H13" i="11"/>
  <c r="H21" i="11"/>
  <c r="F21" i="11"/>
  <c r="I16" i="1" s="1"/>
  <c r="C21" i="11"/>
  <c r="F16" i="1" s="1"/>
  <c r="U20" i="14"/>
  <c r="Q20" i="14"/>
  <c r="J18" i="26"/>
  <c r="W18" i="14"/>
  <c r="V18" i="14"/>
  <c r="V22" i="14" s="1"/>
  <c r="T18" i="14"/>
  <c r="T22" i="14" s="1"/>
  <c r="S18" i="14"/>
  <c r="R18" i="14"/>
  <c r="R22" i="14" s="1"/>
  <c r="V12" i="5"/>
  <c r="V19" i="5" s="1"/>
  <c r="U12" i="5"/>
  <c r="U19" i="5" s="1"/>
  <c r="S12" i="5"/>
  <c r="S19" i="5" s="1"/>
  <c r="R12" i="5"/>
  <c r="R19" i="5" s="1"/>
  <c r="Q12" i="5"/>
  <c r="Q19" i="5" s="1"/>
  <c r="O12" i="5"/>
  <c r="O19" i="5" s="1"/>
  <c r="J12" i="5"/>
  <c r="J19" i="5" s="1"/>
  <c r="I12" i="5"/>
  <c r="I19" i="5" s="1"/>
  <c r="G12" i="5"/>
  <c r="G19" i="5" s="1"/>
  <c r="M16" i="29"/>
  <c r="I14" i="29"/>
  <c r="W12" i="29"/>
  <c r="W16" i="29" s="1"/>
  <c r="V12" i="29"/>
  <c r="V16" i="29" s="1"/>
  <c r="T12" i="29"/>
  <c r="T16" i="29" s="1"/>
  <c r="S12" i="29"/>
  <c r="S16" i="29" s="1"/>
  <c r="R12" i="29"/>
  <c r="R16" i="29" s="1"/>
  <c r="P12" i="29"/>
  <c r="P16" i="29" s="1"/>
  <c r="L12" i="29"/>
  <c r="L16" i="29" s="1"/>
  <c r="J28" i="1" s="1"/>
  <c r="K12" i="29"/>
  <c r="K16" i="29" s="1"/>
  <c r="I28" i="1" s="1"/>
  <c r="J12" i="29"/>
  <c r="J16" i="29" s="1"/>
  <c r="H28" i="1" s="1"/>
  <c r="H12" i="29"/>
  <c r="U28" i="15"/>
  <c r="T28" i="15"/>
  <c r="R28" i="15"/>
  <c r="Q28" i="15"/>
  <c r="P28" i="15"/>
  <c r="U20" i="15"/>
  <c r="T20" i="15"/>
  <c r="R20" i="15"/>
  <c r="Q20" i="15"/>
  <c r="P20" i="15"/>
  <c r="N20" i="15"/>
  <c r="J28" i="15"/>
  <c r="I28" i="15"/>
  <c r="H28" i="15"/>
  <c r="F28" i="15"/>
  <c r="J20" i="15"/>
  <c r="I20" i="15"/>
  <c r="H20" i="15"/>
  <c r="F20" i="15"/>
  <c r="P12" i="21"/>
  <c r="P16" i="21" s="1"/>
  <c r="H12" i="21"/>
  <c r="U14" i="21"/>
  <c r="U12" i="21" s="1"/>
  <c r="U16" i="21" s="1"/>
  <c r="W12" i="21"/>
  <c r="W16" i="21" s="1"/>
  <c r="V12" i="21"/>
  <c r="V16" i="21" s="1"/>
  <c r="T12" i="21"/>
  <c r="T16" i="21" s="1"/>
  <c r="S12" i="21"/>
  <c r="S16" i="21" s="1"/>
  <c r="R12" i="21"/>
  <c r="R16" i="21" s="1"/>
  <c r="Q14" i="21"/>
  <c r="Q12" i="21" s="1"/>
  <c r="Q16" i="21" s="1"/>
  <c r="L12" i="21"/>
  <c r="L16" i="21" s="1"/>
  <c r="J22" i="1" s="1"/>
  <c r="K12" i="21"/>
  <c r="K16" i="21" s="1"/>
  <c r="I22" i="1" s="1"/>
  <c r="J12" i="21"/>
  <c r="J16" i="21" s="1"/>
  <c r="H22" i="1" s="1"/>
  <c r="I14" i="21"/>
  <c r="W13" i="8"/>
  <c r="W17" i="8" s="1"/>
  <c r="V13" i="8"/>
  <c r="V17" i="8" s="1"/>
  <c r="T13" i="8"/>
  <c r="T17" i="8" s="1"/>
  <c r="S13" i="8"/>
  <c r="S17" i="8" s="1"/>
  <c r="R13" i="8"/>
  <c r="R17" i="8" s="1"/>
  <c r="P13" i="8"/>
  <c r="P17" i="8" s="1"/>
  <c r="L13" i="8"/>
  <c r="L17" i="8" s="1"/>
  <c r="K13" i="8"/>
  <c r="K17" i="8" s="1"/>
  <c r="J13" i="8"/>
  <c r="J17" i="8" s="1"/>
  <c r="H13" i="8"/>
  <c r="W12" i="14"/>
  <c r="S12" i="14"/>
  <c r="P22" i="14"/>
  <c r="H22" i="14"/>
  <c r="J18" i="14"/>
  <c r="I20" i="14"/>
  <c r="K18" i="14"/>
  <c r="W12" i="25"/>
  <c r="V12" i="25"/>
  <c r="U12" i="25"/>
  <c r="T12" i="25"/>
  <c r="S12" i="25"/>
  <c r="R12" i="25"/>
  <c r="P12" i="25"/>
  <c r="L12" i="25"/>
  <c r="J12" i="25"/>
  <c r="I12" i="25"/>
  <c r="H12" i="25"/>
  <c r="K12" i="14"/>
  <c r="K22" i="14" s="1"/>
  <c r="J12" i="14"/>
  <c r="W15" i="7"/>
  <c r="W14" i="7" s="1"/>
  <c r="W12" i="7"/>
  <c r="S14" i="7"/>
  <c r="S12" i="7"/>
  <c r="K14" i="7"/>
  <c r="L15" i="7"/>
  <c r="L14" i="7" s="1"/>
  <c r="L14" i="13"/>
  <c r="W12" i="13"/>
  <c r="V12" i="13"/>
  <c r="P12" i="13"/>
  <c r="T12" i="13"/>
  <c r="S12" i="13"/>
  <c r="R12" i="13"/>
  <c r="H12" i="13"/>
  <c r="K12" i="13"/>
  <c r="J12" i="13"/>
  <c r="V12" i="7"/>
  <c r="T12" i="7"/>
  <c r="R12" i="7"/>
  <c r="T14" i="7"/>
  <c r="P12" i="7"/>
  <c r="P17" i="7" s="1"/>
  <c r="J14" i="7"/>
  <c r="H12" i="7"/>
  <c r="L12" i="7"/>
  <c r="K12" i="7"/>
  <c r="K17" i="7" s="1"/>
  <c r="I14" i="1" s="1"/>
  <c r="J12" i="7"/>
  <c r="V14" i="7"/>
  <c r="Q15" i="7"/>
  <c r="Q14" i="7" s="1"/>
  <c r="I15" i="7"/>
  <c r="U13" i="7"/>
  <c r="U12" i="7" s="1"/>
  <c r="Q13" i="7"/>
  <c r="Q12" i="7" s="1"/>
  <c r="I13" i="7"/>
  <c r="L18" i="22" l="1"/>
  <c r="O19" i="22"/>
  <c r="M23" i="1" s="1"/>
  <c r="G12" i="25"/>
  <c r="H17" i="7"/>
  <c r="H16" i="13"/>
  <c r="I18" i="14"/>
  <c r="G18" i="14" s="1"/>
  <c r="G20" i="14"/>
  <c r="I12" i="21"/>
  <c r="I16" i="21" s="1"/>
  <c r="G22" i="1" s="1"/>
  <c r="G14" i="21"/>
  <c r="H16" i="29"/>
  <c r="F28" i="1" s="1"/>
  <c r="I14" i="7"/>
  <c r="G14" i="7" s="1"/>
  <c r="G15" i="7"/>
  <c r="I12" i="7"/>
  <c r="G12" i="7" s="1"/>
  <c r="G13" i="7"/>
  <c r="H17" i="8"/>
  <c r="I12" i="29"/>
  <c r="I16" i="29" s="1"/>
  <c r="G28" i="1" s="1"/>
  <c r="G14" i="29"/>
  <c r="G16" i="29" s="1"/>
  <c r="H16" i="21"/>
  <c r="S22" i="14"/>
  <c r="J32" i="22"/>
  <c r="H23" i="1" s="1"/>
  <c r="J22" i="14"/>
  <c r="W22" i="22"/>
  <c r="W32" i="22" s="1"/>
  <c r="T17" i="7"/>
  <c r="L32" i="22"/>
  <c r="J23" i="1" s="1"/>
  <c r="Q17" i="7"/>
  <c r="L17" i="7"/>
  <c r="J14" i="1" s="1"/>
  <c r="W17" i="7"/>
  <c r="Q18" i="14"/>
  <c r="Q24" i="22"/>
  <c r="S22" i="22"/>
  <c r="Q22" i="22" s="1"/>
  <c r="I25" i="22"/>
  <c r="G25" i="22" s="1"/>
  <c r="K22" i="22"/>
  <c r="I22" i="22" s="1"/>
  <c r="G22" i="22" s="1"/>
  <c r="H32" i="22"/>
  <c r="F23" i="1" s="1"/>
  <c r="I20" i="22"/>
  <c r="G20" i="22" s="1"/>
  <c r="K18" i="22"/>
  <c r="I18" i="22" s="1"/>
  <c r="G18" i="22" s="1"/>
  <c r="Q20" i="22"/>
  <c r="I16" i="22"/>
  <c r="G16" i="22" s="1"/>
  <c r="U18" i="22"/>
  <c r="U20" i="22"/>
  <c r="W22" i="14"/>
  <c r="U18" i="14"/>
  <c r="V32" i="22"/>
  <c r="T32" i="22"/>
  <c r="S17" i="7"/>
  <c r="Q12" i="22"/>
  <c r="P32" i="22"/>
  <c r="U24" i="22"/>
  <c r="I12" i="22"/>
  <c r="G12" i="22" s="1"/>
  <c r="R32" i="22"/>
  <c r="Q18" i="22"/>
  <c r="U16" i="22"/>
  <c r="Q16" i="22"/>
  <c r="U15" i="7"/>
  <c r="U14" i="7" s="1"/>
  <c r="U17" i="7" s="1"/>
  <c r="J17" i="7"/>
  <c r="H14" i="1" s="1"/>
  <c r="V17" i="7"/>
  <c r="R14" i="7"/>
  <c r="R17" i="7" s="1"/>
  <c r="I17" i="7" l="1"/>
  <c r="G14" i="1" s="1"/>
  <c r="G12" i="21"/>
  <c r="G32" i="22"/>
  <c r="F18" i="1"/>
  <c r="G12" i="29"/>
  <c r="F22" i="1"/>
  <c r="G16" i="21"/>
  <c r="F14" i="1"/>
  <c r="G17" i="7"/>
  <c r="T23" i="1"/>
  <c r="I32" i="22"/>
  <c r="G23" i="1" s="1"/>
  <c r="K32" i="22"/>
  <c r="I23" i="1" s="1"/>
  <c r="U23" i="1"/>
  <c r="P23" i="1"/>
  <c r="N23" i="1"/>
  <c r="R23" i="1"/>
  <c r="S32" i="22"/>
  <c r="U22" i="22"/>
  <c r="U32" i="22" s="1"/>
  <c r="Q32" i="22"/>
  <c r="I12" i="4"/>
  <c r="G12" i="4" s="1"/>
  <c r="I18" i="6"/>
  <c r="G18" i="6" s="1"/>
  <c r="Q18" i="6"/>
  <c r="U18" i="6"/>
  <c r="E23" i="1" l="1"/>
  <c r="O23" i="1"/>
  <c r="Q23" i="1"/>
  <c r="S23" i="1"/>
  <c r="U19" i="25" l="1"/>
  <c r="U18" i="25" s="1"/>
  <c r="Q19" i="25"/>
  <c r="Q18" i="25" s="1"/>
  <c r="I19" i="25"/>
  <c r="W18" i="25"/>
  <c r="V18" i="25"/>
  <c r="T18" i="25"/>
  <c r="S18" i="25"/>
  <c r="R18" i="25"/>
  <c r="P18" i="25"/>
  <c r="K18" i="25"/>
  <c r="J18" i="25"/>
  <c r="H18" i="25"/>
  <c r="U17" i="25"/>
  <c r="Q17" i="25"/>
  <c r="I17" i="25"/>
  <c r="U16" i="25"/>
  <c r="Q16" i="25"/>
  <c r="K16" i="25"/>
  <c r="K15" i="25" s="1"/>
  <c r="W15" i="25"/>
  <c r="V15" i="25"/>
  <c r="T15" i="25"/>
  <c r="S15" i="25"/>
  <c r="R15" i="25"/>
  <c r="P15" i="25"/>
  <c r="L15" i="25"/>
  <c r="L21" i="25" s="1"/>
  <c r="J25" i="1" s="1"/>
  <c r="J15" i="25"/>
  <c r="H15" i="25"/>
  <c r="Q14" i="25"/>
  <c r="Q13" i="25"/>
  <c r="K13" i="25"/>
  <c r="K12" i="25" s="1"/>
  <c r="U19" i="17"/>
  <c r="U18" i="17" s="1"/>
  <c r="Q19" i="17"/>
  <c r="Q18" i="17" s="1"/>
  <c r="L19" i="17"/>
  <c r="I19" i="17"/>
  <c r="W18" i="17"/>
  <c r="V18" i="17"/>
  <c r="T18" i="17"/>
  <c r="S18" i="17"/>
  <c r="R18" i="17"/>
  <c r="P18" i="17"/>
  <c r="K18" i="17"/>
  <c r="J18" i="17"/>
  <c r="H18" i="17"/>
  <c r="L17" i="17"/>
  <c r="U16" i="17"/>
  <c r="Q16" i="17"/>
  <c r="L16" i="17"/>
  <c r="I16" i="17"/>
  <c r="G16" i="17" s="1"/>
  <c r="U15" i="17"/>
  <c r="Q15" i="17"/>
  <c r="Q14" i="17" s="1"/>
  <c r="L15" i="17"/>
  <c r="I15" i="17"/>
  <c r="W14" i="17"/>
  <c r="V14" i="17"/>
  <c r="T14" i="17"/>
  <c r="R14" i="17"/>
  <c r="P14" i="17"/>
  <c r="K14" i="17"/>
  <c r="J14" i="17"/>
  <c r="H14" i="17"/>
  <c r="S13" i="17"/>
  <c r="W13" i="17" s="1"/>
  <c r="I13" i="17"/>
  <c r="G13" i="17" s="1"/>
  <c r="V12" i="17"/>
  <c r="T12" i="17"/>
  <c r="R12" i="17"/>
  <c r="P12" i="17"/>
  <c r="L12" i="17"/>
  <c r="K12" i="17"/>
  <c r="J12" i="17"/>
  <c r="I12" i="17"/>
  <c r="H12" i="17"/>
  <c r="L18" i="17" l="1"/>
  <c r="O19" i="17"/>
  <c r="M20" i="1" s="1"/>
  <c r="G12" i="17"/>
  <c r="I14" i="17"/>
  <c r="G14" i="17" s="1"/>
  <c r="G15" i="17"/>
  <c r="I15" i="25"/>
  <c r="G15" i="25" s="1"/>
  <c r="G17" i="25"/>
  <c r="I18" i="25"/>
  <c r="G18" i="25" s="1"/>
  <c r="G19" i="25"/>
  <c r="I18" i="17"/>
  <c r="G18" i="17" s="1"/>
  <c r="G19" i="17"/>
  <c r="S21" i="25"/>
  <c r="Q25" i="1" s="1"/>
  <c r="L14" i="17"/>
  <c r="L21" i="17" s="1"/>
  <c r="J20" i="1" s="1"/>
  <c r="U14" i="17"/>
  <c r="H21" i="17"/>
  <c r="F20" i="1" s="1"/>
  <c r="J21" i="17"/>
  <c r="H20" i="1" s="1"/>
  <c r="R21" i="17"/>
  <c r="P20" i="1" s="1"/>
  <c r="H21" i="25"/>
  <c r="R21" i="25"/>
  <c r="P25" i="1" s="1"/>
  <c r="T21" i="25"/>
  <c r="R25" i="1" s="1"/>
  <c r="Q15" i="25"/>
  <c r="K21" i="17"/>
  <c r="I20" i="1" s="1"/>
  <c r="T21" i="17"/>
  <c r="J21" i="25"/>
  <c r="H25" i="1" s="1"/>
  <c r="V21" i="17"/>
  <c r="I21" i="17"/>
  <c r="G20" i="1" s="1"/>
  <c r="P21" i="17"/>
  <c r="P21" i="25"/>
  <c r="Q12" i="25"/>
  <c r="W21" i="25"/>
  <c r="K21" i="25"/>
  <c r="I25" i="1" s="1"/>
  <c r="V21" i="25"/>
  <c r="U15" i="25"/>
  <c r="U21" i="25" s="1"/>
  <c r="S14" i="17"/>
  <c r="S12" i="17"/>
  <c r="Q13" i="17"/>
  <c r="Q12" i="17" s="1"/>
  <c r="Q21" i="17" s="1"/>
  <c r="U13" i="17"/>
  <c r="U12" i="17" s="1"/>
  <c r="W12" i="17"/>
  <c r="W21" i="17" s="1"/>
  <c r="G21" i="17" l="1"/>
  <c r="F25" i="1"/>
  <c r="I21" i="25"/>
  <c r="G25" i="1" s="1"/>
  <c r="S21" i="17"/>
  <c r="Q20" i="1" s="1"/>
  <c r="U21" i="17"/>
  <c r="S20" i="1" s="1"/>
  <c r="Q21" i="25"/>
  <c r="O25" i="1" s="1"/>
  <c r="T20" i="1"/>
  <c r="O20" i="1"/>
  <c r="T25" i="1"/>
  <c r="N25" i="1"/>
  <c r="S25" i="1"/>
  <c r="N20" i="1"/>
  <c r="U20" i="1"/>
  <c r="U25" i="1"/>
  <c r="E20" i="1"/>
  <c r="R20" i="1"/>
  <c r="U13" i="16"/>
  <c r="Q13" i="16"/>
  <c r="I16" i="2"/>
  <c r="G21" i="11"/>
  <c r="J16" i="1" s="1"/>
  <c r="O21" i="11"/>
  <c r="K21" i="11"/>
  <c r="E21" i="11"/>
  <c r="H16" i="1" s="1"/>
  <c r="Q21" i="11"/>
  <c r="M21" i="11"/>
  <c r="P15" i="11"/>
  <c r="L13" i="11"/>
  <c r="D13" i="11"/>
  <c r="G21" i="25" l="1"/>
  <c r="E25" i="1"/>
  <c r="G16" i="2"/>
  <c r="I28" i="26"/>
  <c r="G28" i="26" s="1"/>
  <c r="I27" i="26"/>
  <c r="G27" i="26" s="1"/>
  <c r="I26" i="26"/>
  <c r="G26" i="26" s="1"/>
  <c r="I25" i="26"/>
  <c r="G25" i="26" s="1"/>
  <c r="I24" i="26"/>
  <c r="G24" i="26" s="1"/>
  <c r="I23" i="26"/>
  <c r="G23" i="26" s="1"/>
  <c r="I22" i="26"/>
  <c r="G22" i="26" s="1"/>
  <c r="I21" i="26"/>
  <c r="G21" i="26" s="1"/>
  <c r="I20" i="26"/>
  <c r="G20" i="26" s="1"/>
  <c r="L19" i="26"/>
  <c r="L18" i="26" s="1"/>
  <c r="L30" i="26" s="1"/>
  <c r="J26" i="1" s="1"/>
  <c r="I19" i="26"/>
  <c r="G19" i="26" s="1"/>
  <c r="G18" i="26" l="1"/>
  <c r="I18" i="26"/>
  <c r="U18" i="19" l="1"/>
  <c r="Q18" i="19"/>
  <c r="I18" i="19"/>
  <c r="G18" i="19" s="1"/>
  <c r="U17" i="19"/>
  <c r="Q17" i="19"/>
  <c r="L17" i="19"/>
  <c r="I17" i="19"/>
  <c r="G17" i="19" s="1"/>
  <c r="U16" i="19"/>
  <c r="Q16" i="19"/>
  <c r="I16" i="19"/>
  <c r="G16" i="19" s="1"/>
  <c r="I15" i="19"/>
  <c r="G15" i="19" s="1"/>
  <c r="I14" i="19"/>
  <c r="G14" i="19" s="1"/>
  <c r="U13" i="19"/>
  <c r="Q13" i="19"/>
  <c r="I13" i="19"/>
  <c r="G13" i="19" s="1"/>
  <c r="W21" i="19"/>
  <c r="V21" i="19"/>
  <c r="T21" i="19"/>
  <c r="S21" i="19"/>
  <c r="R21" i="19"/>
  <c r="P21" i="19"/>
  <c r="K21" i="19"/>
  <c r="I21" i="1" s="1"/>
  <c r="J21" i="19"/>
  <c r="H21" i="1" s="1"/>
  <c r="H21" i="19"/>
  <c r="F21" i="1" s="1"/>
  <c r="U33" i="6"/>
  <c r="Q33" i="6"/>
  <c r="I33" i="6"/>
  <c r="G33" i="6" s="1"/>
  <c r="U32" i="6"/>
  <c r="Q32" i="6"/>
  <c r="I32" i="6"/>
  <c r="G32" i="6" s="1"/>
  <c r="U29" i="6"/>
  <c r="Q29" i="6"/>
  <c r="I29" i="6"/>
  <c r="G29" i="6" s="1"/>
  <c r="U28" i="6"/>
  <c r="Q28" i="6"/>
  <c r="I28" i="6"/>
  <c r="G28" i="6" s="1"/>
  <c r="U27" i="6"/>
  <c r="Q27" i="6"/>
  <c r="I27" i="6"/>
  <c r="G27" i="6" s="1"/>
  <c r="U26" i="6"/>
  <c r="Q26" i="6"/>
  <c r="I26" i="6"/>
  <c r="G26" i="6" s="1"/>
  <c r="U25" i="6"/>
  <c r="Q25" i="6"/>
  <c r="I25" i="6"/>
  <c r="G25" i="6" s="1"/>
  <c r="U24" i="6"/>
  <c r="Q24" i="6"/>
  <c r="I24" i="6"/>
  <c r="G24" i="6" s="1"/>
  <c r="U23" i="6"/>
  <c r="Q23" i="6"/>
  <c r="I23" i="6"/>
  <c r="G23" i="6" s="1"/>
  <c r="U22" i="6"/>
  <c r="Q22" i="6"/>
  <c r="I22" i="6"/>
  <c r="G22" i="6" s="1"/>
  <c r="U21" i="6"/>
  <c r="Q21" i="6"/>
  <c r="I21" i="6"/>
  <c r="G21" i="6" s="1"/>
  <c r="U20" i="6"/>
  <c r="Q20" i="6"/>
  <c r="I20" i="6"/>
  <c r="G20" i="6" s="1"/>
  <c r="W19" i="6"/>
  <c r="V19" i="6"/>
  <c r="T19" i="6"/>
  <c r="S19" i="6"/>
  <c r="R19" i="6"/>
  <c r="P19" i="6"/>
  <c r="J19" i="6"/>
  <c r="H19" i="6"/>
  <c r="U17" i="6"/>
  <c r="Q17" i="6"/>
  <c r="I17" i="6"/>
  <c r="G17" i="6" s="1"/>
  <c r="U16" i="6"/>
  <c r="Q16" i="6"/>
  <c r="I16" i="6"/>
  <c r="G16" i="6" s="1"/>
  <c r="U15" i="6"/>
  <c r="Q15" i="6"/>
  <c r="I15" i="6"/>
  <c r="G15" i="6" s="1"/>
  <c r="U14" i="6"/>
  <c r="Q14" i="6"/>
  <c r="I14" i="6"/>
  <c r="G14" i="6" s="1"/>
  <c r="U13" i="6"/>
  <c r="Q13" i="6"/>
  <c r="I13" i="6"/>
  <c r="G13" i="6" s="1"/>
  <c r="W12" i="6"/>
  <c r="V12" i="6"/>
  <c r="T12" i="6"/>
  <c r="S12" i="6"/>
  <c r="R12" i="6"/>
  <c r="P12" i="6"/>
  <c r="L12" i="6"/>
  <c r="L34" i="6" s="1"/>
  <c r="J12" i="6"/>
  <c r="J34" i="6" s="1"/>
  <c r="H13" i="1" s="1"/>
  <c r="H12" i="6"/>
  <c r="H34" i="6" s="1"/>
  <c r="F13" i="1" s="1"/>
  <c r="W26" i="3"/>
  <c r="V26" i="3"/>
  <c r="T26" i="3"/>
  <c r="S26" i="3"/>
  <c r="R26" i="3"/>
  <c r="P26" i="3"/>
  <c r="K26" i="3"/>
  <c r="I11" i="1" s="1"/>
  <c r="J26" i="3"/>
  <c r="H11" i="1" s="1"/>
  <c r="H26" i="3"/>
  <c r="F11" i="1" s="1"/>
  <c r="U22" i="3"/>
  <c r="Q22" i="3"/>
  <c r="I22" i="3"/>
  <c r="G22" i="3" s="1"/>
  <c r="U21" i="3"/>
  <c r="Q21" i="3"/>
  <c r="I21" i="3"/>
  <c r="G21" i="3" s="1"/>
  <c r="U20" i="3"/>
  <c r="Q20" i="3"/>
  <c r="I20" i="3"/>
  <c r="G20" i="3" s="1"/>
  <c r="U19" i="3"/>
  <c r="Q19" i="3"/>
  <c r="I19" i="3"/>
  <c r="G19" i="3" s="1"/>
  <c r="Q18" i="3"/>
  <c r="I18" i="3"/>
  <c r="G18" i="3" s="1"/>
  <c r="U17" i="3"/>
  <c r="Q17" i="3"/>
  <c r="I17" i="3"/>
  <c r="G17" i="3" s="1"/>
  <c r="U16" i="3"/>
  <c r="Q16" i="3"/>
  <c r="I16" i="3"/>
  <c r="G16" i="3" s="1"/>
  <c r="U15" i="3"/>
  <c r="Q15" i="3"/>
  <c r="I15" i="3"/>
  <c r="G15" i="3" s="1"/>
  <c r="U14" i="3"/>
  <c r="Q14" i="3"/>
  <c r="I14" i="3"/>
  <c r="G14" i="3" s="1"/>
  <c r="U13" i="3"/>
  <c r="Q13" i="3"/>
  <c r="I13" i="3"/>
  <c r="G13" i="3" s="1"/>
  <c r="U12" i="3"/>
  <c r="Q12" i="3"/>
  <c r="I12" i="3"/>
  <c r="G12" i="3" s="1"/>
  <c r="R34" i="6" l="1"/>
  <c r="N11" i="1"/>
  <c r="T11" i="1"/>
  <c r="R21" i="1"/>
  <c r="P11" i="1"/>
  <c r="U11" i="1"/>
  <c r="N21" i="1"/>
  <c r="T21" i="1"/>
  <c r="Q11" i="1"/>
  <c r="P21" i="1"/>
  <c r="U21" i="1"/>
  <c r="R11" i="1"/>
  <c r="Q21" i="1"/>
  <c r="T34" i="6"/>
  <c r="L12" i="19"/>
  <c r="L21" i="19" s="1"/>
  <c r="J21" i="1" s="1"/>
  <c r="U12" i="6"/>
  <c r="K12" i="6"/>
  <c r="I12" i="6" s="1"/>
  <c r="G12" i="6" s="1"/>
  <c r="U12" i="19"/>
  <c r="U21" i="19" s="1"/>
  <c r="K19" i="6"/>
  <c r="Q19" i="6"/>
  <c r="P34" i="6"/>
  <c r="V34" i="6"/>
  <c r="Q12" i="6"/>
  <c r="U19" i="6"/>
  <c r="Q12" i="19"/>
  <c r="Q21" i="19" s="1"/>
  <c r="Q26" i="3"/>
  <c r="I12" i="19"/>
  <c r="S34" i="6"/>
  <c r="W34" i="6"/>
  <c r="U26" i="3"/>
  <c r="I26" i="3"/>
  <c r="G11" i="1" s="1"/>
  <c r="W17" i="4"/>
  <c r="V16" i="4"/>
  <c r="T16" i="4"/>
  <c r="P23" i="4"/>
  <c r="T23" i="4" s="1"/>
  <c r="S23" i="4"/>
  <c r="W23" i="4" s="1"/>
  <c r="S22" i="4"/>
  <c r="W22" i="4" s="1"/>
  <c r="S21" i="4"/>
  <c r="W21" i="4" s="1"/>
  <c r="R20" i="4"/>
  <c r="R25" i="4" s="1"/>
  <c r="P20" i="4"/>
  <c r="T20" i="4" s="1"/>
  <c r="S17" i="4"/>
  <c r="K25" i="4"/>
  <c r="I12" i="1" s="1"/>
  <c r="I16" i="4"/>
  <c r="G16" i="4" s="1"/>
  <c r="J25" i="4"/>
  <c r="H12" i="1" s="1"/>
  <c r="L19" i="4"/>
  <c r="N19" i="4" s="1"/>
  <c r="N25" i="4" s="1"/>
  <c r="L12" i="1" s="1"/>
  <c r="K18" i="4"/>
  <c r="O25" i="4" l="1"/>
  <c r="M12" i="1" s="1"/>
  <c r="G26" i="3"/>
  <c r="I21" i="19"/>
  <c r="G12" i="19"/>
  <c r="S21" i="1"/>
  <c r="O21" i="1"/>
  <c r="E11" i="1"/>
  <c r="S11" i="1"/>
  <c r="O11" i="1"/>
  <c r="U34" i="6"/>
  <c r="K34" i="6"/>
  <c r="I13" i="1" s="1"/>
  <c r="I19" i="6"/>
  <c r="W25" i="4"/>
  <c r="S25" i="4"/>
  <c r="Q34" i="6"/>
  <c r="T25" i="4"/>
  <c r="P25" i="4"/>
  <c r="V20" i="4"/>
  <c r="V25" i="4" s="1"/>
  <c r="L12" i="4"/>
  <c r="L25" i="4" s="1"/>
  <c r="J12" i="1" s="1"/>
  <c r="G21" i="19" l="1"/>
  <c r="G21" i="1"/>
  <c r="E21" i="1" s="1"/>
  <c r="I34" i="6"/>
  <c r="G19" i="6"/>
  <c r="S20" i="10"/>
  <c r="W20" i="10"/>
  <c r="G34" i="6" l="1"/>
  <c r="G13" i="1"/>
  <c r="H12" i="10"/>
  <c r="L20" i="10"/>
  <c r="L12" i="10"/>
  <c r="I16" i="10"/>
  <c r="G16" i="10" s="1"/>
  <c r="Q16" i="10"/>
  <c r="U16" i="10"/>
  <c r="I17" i="10"/>
  <c r="G17" i="10" s="1"/>
  <c r="Q17" i="10"/>
  <c r="U17" i="10"/>
  <c r="I18" i="10"/>
  <c r="G18" i="10" s="1"/>
  <c r="Q18" i="10"/>
  <c r="U18" i="10"/>
  <c r="I19" i="10"/>
  <c r="G19" i="10" s="1"/>
  <c r="Q19" i="10"/>
  <c r="U19" i="10"/>
  <c r="L39" i="10" l="1"/>
  <c r="J15" i="1" s="1"/>
  <c r="I13" i="10"/>
  <c r="G13" i="10" s="1"/>
  <c r="Q13" i="10"/>
  <c r="U13" i="10"/>
  <c r="I15" i="10"/>
  <c r="G15" i="10" s="1"/>
  <c r="Q15" i="10"/>
  <c r="U15" i="10"/>
  <c r="H20" i="10"/>
  <c r="J20" i="10"/>
  <c r="K20" i="10"/>
  <c r="P20" i="10"/>
  <c r="R20" i="10"/>
  <c r="Q20" i="10" s="1"/>
  <c r="T20" i="10"/>
  <c r="V20" i="10"/>
  <c r="I21" i="10"/>
  <c r="G21" i="10" s="1"/>
  <c r="Q21" i="10"/>
  <c r="U21" i="10"/>
  <c r="I22" i="10"/>
  <c r="G22" i="10" s="1"/>
  <c r="Q22" i="10"/>
  <c r="U22" i="10"/>
  <c r="I23" i="10"/>
  <c r="G23" i="10" s="1"/>
  <c r="Q23" i="10"/>
  <c r="U23" i="10"/>
  <c r="I24" i="10"/>
  <c r="G24" i="10" s="1"/>
  <c r="Q24" i="10"/>
  <c r="U24" i="10"/>
  <c r="I25" i="10"/>
  <c r="G25" i="10" s="1"/>
  <c r="Q25" i="10"/>
  <c r="U25" i="10"/>
  <c r="I26" i="10"/>
  <c r="G26" i="10" s="1"/>
  <c r="Q26" i="10"/>
  <c r="U26" i="10"/>
  <c r="I27" i="10"/>
  <c r="G27" i="10" s="1"/>
  <c r="Q27" i="10"/>
  <c r="U27" i="10"/>
  <c r="I28" i="10"/>
  <c r="G28" i="10" s="1"/>
  <c r="Q28" i="10"/>
  <c r="U28" i="10"/>
  <c r="I29" i="10"/>
  <c r="G29" i="10" s="1"/>
  <c r="Q29" i="10"/>
  <c r="U29" i="10"/>
  <c r="I30" i="10"/>
  <c r="G30" i="10" s="1"/>
  <c r="Q30" i="10"/>
  <c r="U30" i="10"/>
  <c r="I31" i="10"/>
  <c r="G31" i="10" s="1"/>
  <c r="Q31" i="10"/>
  <c r="U31" i="10"/>
  <c r="I34" i="10"/>
  <c r="G34" i="10" s="1"/>
  <c r="Q34" i="10"/>
  <c r="U34" i="10"/>
  <c r="I35" i="10"/>
  <c r="G35" i="10" s="1"/>
  <c r="Q35" i="10"/>
  <c r="U35" i="10"/>
  <c r="I36" i="10"/>
  <c r="G36" i="10" s="1"/>
  <c r="Q36" i="10"/>
  <c r="U36" i="10"/>
  <c r="I37" i="10"/>
  <c r="G37" i="10" s="1"/>
  <c r="Q37" i="10"/>
  <c r="U37" i="10"/>
  <c r="I38" i="10"/>
  <c r="G38" i="10" s="1"/>
  <c r="Q38" i="10"/>
  <c r="U38" i="10"/>
  <c r="I20" i="10" l="1"/>
  <c r="G20" i="10" s="1"/>
  <c r="U20" i="10"/>
  <c r="H30" i="26"/>
  <c r="T14" i="5"/>
  <c r="T15" i="5"/>
  <c r="T16" i="5"/>
  <c r="T17" i="5"/>
  <c r="P16" i="5"/>
  <c r="P17" i="5"/>
  <c r="P15" i="5"/>
  <c r="H14" i="5"/>
  <c r="H15" i="5"/>
  <c r="F26" i="1" l="1"/>
  <c r="I12" i="26"/>
  <c r="G12" i="26" s="1"/>
  <c r="T12" i="5"/>
  <c r="T19" i="5" s="1"/>
  <c r="P12" i="5"/>
  <c r="P19" i="5" s="1"/>
  <c r="K28" i="1"/>
  <c r="K26" i="1"/>
  <c r="K22" i="1"/>
  <c r="K18" i="1"/>
  <c r="K16" i="1"/>
  <c r="K14" i="1" l="1"/>
  <c r="K13" i="1"/>
  <c r="K12" i="1"/>
  <c r="N37" i="31" l="1"/>
  <c r="J37" i="31"/>
  <c r="D37" i="31"/>
  <c r="N36" i="31"/>
  <c r="J36" i="31"/>
  <c r="D36" i="31"/>
  <c r="N35" i="31"/>
  <c r="J35" i="31"/>
  <c r="D35" i="31"/>
  <c r="N34" i="31"/>
  <c r="J34" i="31"/>
  <c r="D34" i="31"/>
  <c r="N33" i="31"/>
  <c r="J33" i="31"/>
  <c r="D33" i="31"/>
  <c r="N32" i="31"/>
  <c r="J32" i="31"/>
  <c r="D32" i="31"/>
  <c r="N31" i="31"/>
  <c r="J31" i="31"/>
  <c r="D31" i="31"/>
  <c r="N30" i="31"/>
  <c r="J30" i="31"/>
  <c r="D30" i="31"/>
  <c r="N29" i="31"/>
  <c r="J29" i="31"/>
  <c r="D29" i="31"/>
  <c r="N28" i="31"/>
  <c r="J28" i="31"/>
  <c r="D28" i="31"/>
  <c r="N27" i="31"/>
  <c r="J27" i="31"/>
  <c r="D27" i="31"/>
  <c r="N26" i="31"/>
  <c r="J26" i="31"/>
  <c r="D26" i="31"/>
  <c r="N25" i="31"/>
  <c r="J25" i="31"/>
  <c r="D25" i="31"/>
  <c r="N24" i="31"/>
  <c r="J24" i="31"/>
  <c r="D24" i="31"/>
  <c r="N23" i="31"/>
  <c r="J23" i="31"/>
  <c r="D23" i="31"/>
  <c r="N22" i="31"/>
  <c r="J22" i="31"/>
  <c r="D22" i="31"/>
  <c r="N21" i="31"/>
  <c r="J21" i="31"/>
  <c r="D21" i="31"/>
  <c r="N20" i="31"/>
  <c r="J20" i="31"/>
  <c r="D20" i="31"/>
  <c r="P19" i="31"/>
  <c r="O19" i="31"/>
  <c r="M19" i="31"/>
  <c r="L19" i="31"/>
  <c r="K19" i="31"/>
  <c r="I19" i="31"/>
  <c r="G19" i="31"/>
  <c r="F19" i="31"/>
  <c r="E19" i="31"/>
  <c r="C19" i="31"/>
  <c r="N18" i="31"/>
  <c r="J18" i="31"/>
  <c r="D18" i="31"/>
  <c r="N17" i="31"/>
  <c r="J17" i="31"/>
  <c r="D17" i="31"/>
  <c r="N16" i="31"/>
  <c r="J16" i="31"/>
  <c r="D16" i="31"/>
  <c r="N15" i="31"/>
  <c r="J15" i="31"/>
  <c r="D15" i="31"/>
  <c r="N14" i="31"/>
  <c r="J14" i="31"/>
  <c r="D14" i="31"/>
  <c r="N13" i="31"/>
  <c r="J13" i="31"/>
  <c r="D13" i="31"/>
  <c r="P12" i="31"/>
  <c r="P38" i="31" s="1"/>
  <c r="O12" i="31"/>
  <c r="O38" i="31" s="1"/>
  <c r="M12" i="31"/>
  <c r="M38" i="31" s="1"/>
  <c r="L12" i="31"/>
  <c r="L38" i="31" s="1"/>
  <c r="K12" i="31"/>
  <c r="K38" i="31" s="1"/>
  <c r="I12" i="31"/>
  <c r="I38" i="31" s="1"/>
  <c r="G12" i="31"/>
  <c r="G38" i="31" s="1"/>
  <c r="F12" i="31"/>
  <c r="F38" i="31" s="1"/>
  <c r="E12" i="31"/>
  <c r="C12" i="31"/>
  <c r="C38" i="31" s="1"/>
  <c r="N37" i="30"/>
  <c r="J37" i="30"/>
  <c r="D37" i="30"/>
  <c r="N36" i="30"/>
  <c r="J36" i="30"/>
  <c r="D36" i="30"/>
  <c r="N35" i="30"/>
  <c r="J35" i="30"/>
  <c r="D35" i="30"/>
  <c r="N34" i="30"/>
  <c r="J34" i="30"/>
  <c r="D34" i="30"/>
  <c r="N33" i="30"/>
  <c r="J33" i="30"/>
  <c r="D33" i="30"/>
  <c r="N32" i="30"/>
  <c r="J32" i="30"/>
  <c r="D32" i="30"/>
  <c r="N31" i="30"/>
  <c r="J31" i="30"/>
  <c r="D31" i="30"/>
  <c r="N30" i="30"/>
  <c r="J30" i="30"/>
  <c r="D30" i="30"/>
  <c r="N29" i="30"/>
  <c r="J29" i="30"/>
  <c r="D29" i="30"/>
  <c r="N28" i="30"/>
  <c r="J28" i="30"/>
  <c r="D28" i="30"/>
  <c r="N27" i="30"/>
  <c r="J27" i="30"/>
  <c r="D27" i="30"/>
  <c r="N26" i="30"/>
  <c r="J26" i="30"/>
  <c r="D26" i="30"/>
  <c r="N25" i="30"/>
  <c r="J25" i="30"/>
  <c r="D25" i="30"/>
  <c r="N24" i="30"/>
  <c r="J24" i="30"/>
  <c r="D24" i="30"/>
  <c r="N23" i="30"/>
  <c r="J23" i="30"/>
  <c r="D23" i="30"/>
  <c r="N22" i="30"/>
  <c r="J22" i="30"/>
  <c r="D22" i="30"/>
  <c r="N21" i="30"/>
  <c r="J21" i="30"/>
  <c r="D21" i="30"/>
  <c r="N20" i="30"/>
  <c r="J20" i="30"/>
  <c r="D20" i="30"/>
  <c r="P19" i="30"/>
  <c r="O19" i="30"/>
  <c r="M19" i="30"/>
  <c r="L19" i="30"/>
  <c r="K19" i="30"/>
  <c r="I19" i="30"/>
  <c r="G19" i="30"/>
  <c r="F19" i="30"/>
  <c r="E19" i="30"/>
  <c r="C19" i="30"/>
  <c r="N18" i="30"/>
  <c r="J18" i="30"/>
  <c r="D18" i="30"/>
  <c r="N17" i="30"/>
  <c r="J17" i="30"/>
  <c r="D17" i="30"/>
  <c r="N16" i="30"/>
  <c r="J16" i="30"/>
  <c r="D16" i="30"/>
  <c r="N15" i="30"/>
  <c r="J15" i="30"/>
  <c r="D15" i="30"/>
  <c r="N14" i="30"/>
  <c r="J14" i="30"/>
  <c r="D14" i="30"/>
  <c r="N13" i="30"/>
  <c r="J13" i="30"/>
  <c r="D13" i="30"/>
  <c r="P12" i="30"/>
  <c r="P38" i="30" s="1"/>
  <c r="O12" i="30"/>
  <c r="M12" i="30"/>
  <c r="M38" i="30" s="1"/>
  <c r="L12" i="30"/>
  <c r="L38" i="30" s="1"/>
  <c r="K12" i="30"/>
  <c r="I12" i="30"/>
  <c r="I38" i="30" s="1"/>
  <c r="G12" i="30"/>
  <c r="G38" i="30" s="1"/>
  <c r="F12" i="30"/>
  <c r="F38" i="30" s="1"/>
  <c r="E12" i="30"/>
  <c r="E38" i="30" s="1"/>
  <c r="C12" i="30"/>
  <c r="D12" i="31" l="1"/>
  <c r="D19" i="31"/>
  <c r="J19" i="31"/>
  <c r="D19" i="30"/>
  <c r="N19" i="30"/>
  <c r="D12" i="30"/>
  <c r="J12" i="30"/>
  <c r="J19" i="30"/>
  <c r="N19" i="31"/>
  <c r="E38" i="31"/>
  <c r="N12" i="30"/>
  <c r="C38" i="30"/>
  <c r="K38" i="30"/>
  <c r="O38" i="30"/>
  <c r="J12" i="31"/>
  <c r="J38" i="31" s="1"/>
  <c r="N12" i="31"/>
  <c r="H17" i="5"/>
  <c r="H16" i="5"/>
  <c r="T13" i="5"/>
  <c r="P13" i="5"/>
  <c r="H13" i="5"/>
  <c r="H12" i="5" l="1"/>
  <c r="H19" i="5" s="1"/>
  <c r="N38" i="31"/>
  <c r="D38" i="31"/>
  <c r="J38" i="30"/>
  <c r="N38" i="30"/>
  <c r="D38" i="30"/>
  <c r="K12" i="5" l="1"/>
  <c r="K19" i="5" s="1"/>
  <c r="L12" i="14" l="1"/>
  <c r="L22" i="14" s="1"/>
  <c r="L12" i="13"/>
  <c r="I14" i="13"/>
  <c r="I12" i="13" l="1"/>
  <c r="G12" i="13" s="1"/>
  <c r="G14" i="13"/>
  <c r="I17" i="15"/>
  <c r="Q17" i="15"/>
  <c r="J12" i="15"/>
  <c r="I19" i="15"/>
  <c r="G19" i="15" s="1"/>
  <c r="E19" i="15" s="1"/>
  <c r="I12" i="15" l="1"/>
  <c r="J35" i="15"/>
  <c r="J19" i="1" s="1"/>
  <c r="U24" i="16" l="1"/>
  <c r="T24" i="16"/>
  <c r="R24" i="16"/>
  <c r="Q24" i="16"/>
  <c r="P24" i="16"/>
  <c r="N24" i="16"/>
  <c r="J24" i="16"/>
  <c r="H24" i="16"/>
  <c r="F24" i="16"/>
  <c r="U12" i="16"/>
  <c r="Q12" i="16"/>
  <c r="I13" i="9" l="1"/>
  <c r="G13" i="9" s="1"/>
  <c r="Q13" i="9"/>
  <c r="U13" i="9"/>
  <c r="I14" i="9"/>
  <c r="G14" i="9" s="1"/>
  <c r="Q14" i="9"/>
  <c r="U14" i="9"/>
  <c r="I15" i="9"/>
  <c r="G15" i="9" s="1"/>
  <c r="Q15" i="9"/>
  <c r="U15" i="9"/>
  <c r="I16" i="9"/>
  <c r="G16" i="9" s="1"/>
  <c r="Q16" i="9"/>
  <c r="U16" i="9"/>
  <c r="I17" i="9"/>
  <c r="G17" i="9" s="1"/>
  <c r="Q17" i="9"/>
  <c r="U17" i="9"/>
  <c r="I18" i="9"/>
  <c r="G18" i="9" s="1"/>
  <c r="Q18" i="9"/>
  <c r="U18" i="9"/>
  <c r="U15" i="2"/>
  <c r="U14" i="2"/>
  <c r="U13" i="2"/>
  <c r="U12" i="2"/>
  <c r="Q15" i="2"/>
  <c r="Q14" i="2"/>
  <c r="Q13" i="2"/>
  <c r="Q12" i="2"/>
  <c r="I15" i="2"/>
  <c r="G15" i="2" s="1"/>
  <c r="I14" i="2"/>
  <c r="I13" i="2"/>
  <c r="I12" i="2"/>
  <c r="I24" i="16"/>
  <c r="G14" i="2" l="1"/>
  <c r="G12" i="2"/>
  <c r="G13" i="2"/>
  <c r="I18" i="2"/>
  <c r="Q18" i="2"/>
  <c r="U18" i="2"/>
  <c r="S25" i="16"/>
  <c r="S24" i="16"/>
  <c r="S23" i="16"/>
  <c r="S22" i="16"/>
  <c r="S21" i="16"/>
  <c r="S20" i="16"/>
  <c r="S19" i="16"/>
  <c r="S18" i="16"/>
  <c r="S17" i="16"/>
  <c r="T12" i="16"/>
  <c r="R12" i="16"/>
  <c r="S15" i="16"/>
  <c r="S13" i="16"/>
  <c r="U27" i="16"/>
  <c r="O25" i="16"/>
  <c r="O23" i="16"/>
  <c r="O22" i="16"/>
  <c r="O21" i="16"/>
  <c r="O20" i="16"/>
  <c r="O19" i="16"/>
  <c r="O18" i="16"/>
  <c r="O17" i="16"/>
  <c r="P12" i="16"/>
  <c r="N12" i="16"/>
  <c r="O15" i="16"/>
  <c r="O13" i="16"/>
  <c r="G25" i="16"/>
  <c r="E25" i="16" s="1"/>
  <c r="E24" i="16" s="1"/>
  <c r="G23" i="16"/>
  <c r="E23" i="16" s="1"/>
  <c r="G22" i="16"/>
  <c r="E22" i="16" s="1"/>
  <c r="G21" i="16"/>
  <c r="E21" i="16" s="1"/>
  <c r="G20" i="16"/>
  <c r="E20" i="16" s="1"/>
  <c r="G19" i="16"/>
  <c r="E19" i="16" s="1"/>
  <c r="G18" i="16"/>
  <c r="E18" i="16" s="1"/>
  <c r="G17" i="16"/>
  <c r="G15" i="16"/>
  <c r="E15" i="16" s="1"/>
  <c r="G13" i="16"/>
  <c r="F12" i="16"/>
  <c r="G18" i="2" l="1"/>
  <c r="J13" i="16"/>
  <c r="J12" i="16" s="1"/>
  <c r="J27" i="16" s="1"/>
  <c r="E13" i="16"/>
  <c r="S16" i="16"/>
  <c r="G16" i="16"/>
  <c r="E16" i="16" s="1"/>
  <c r="H12" i="16"/>
  <c r="H27" i="16" s="1"/>
  <c r="O16" i="16"/>
  <c r="F27" i="16"/>
  <c r="Q27" i="16"/>
  <c r="O24" i="16"/>
  <c r="R27" i="16"/>
  <c r="O12" i="16"/>
  <c r="P27" i="16"/>
  <c r="N27" i="16"/>
  <c r="G24" i="16"/>
  <c r="I27" i="16"/>
  <c r="S12" i="16"/>
  <c r="T27" i="16"/>
  <c r="S27" i="16" l="1"/>
  <c r="G12" i="16"/>
  <c r="E12" i="16" s="1"/>
  <c r="E27" i="16" s="1"/>
  <c r="O27" i="16"/>
  <c r="G27" i="16"/>
  <c r="U14" i="29" l="1"/>
  <c r="U12" i="29" s="1"/>
  <c r="U16" i="29" s="1"/>
  <c r="Q14" i="29"/>
  <c r="Q12" i="29" s="1"/>
  <c r="Q16" i="29" s="1"/>
  <c r="U28" i="1"/>
  <c r="Q28" i="1"/>
  <c r="U28" i="26"/>
  <c r="U27" i="26"/>
  <c r="Q27" i="26"/>
  <c r="U26" i="26"/>
  <c r="Q26" i="26"/>
  <c r="U25" i="26"/>
  <c r="Q25" i="26"/>
  <c r="U24" i="26"/>
  <c r="Q24" i="26"/>
  <c r="U23" i="26"/>
  <c r="Q23" i="26"/>
  <c r="U22" i="26"/>
  <c r="Q22" i="26"/>
  <c r="U21" i="26"/>
  <c r="Q21" i="26"/>
  <c r="U20" i="26"/>
  <c r="Q20" i="26"/>
  <c r="U19" i="26"/>
  <c r="Q19" i="26"/>
  <c r="U30" i="26"/>
  <c r="Q30" i="26"/>
  <c r="I13" i="26"/>
  <c r="K30" i="26"/>
  <c r="I26" i="1" s="1"/>
  <c r="J30" i="26"/>
  <c r="H26" i="1" s="1"/>
  <c r="P37" i="24"/>
  <c r="L37" i="24"/>
  <c r="D37" i="24"/>
  <c r="P36" i="24"/>
  <c r="L36" i="24"/>
  <c r="D36" i="24"/>
  <c r="P35" i="24"/>
  <c r="L35" i="24"/>
  <c r="D35" i="24"/>
  <c r="P34" i="24"/>
  <c r="L34" i="24"/>
  <c r="D34" i="24"/>
  <c r="P33" i="24"/>
  <c r="L33" i="24"/>
  <c r="D33" i="24"/>
  <c r="P32" i="24"/>
  <c r="L32" i="24"/>
  <c r="D32" i="24"/>
  <c r="P31" i="24"/>
  <c r="L31" i="24"/>
  <c r="D31" i="24"/>
  <c r="P30" i="24"/>
  <c r="L30" i="24"/>
  <c r="D30" i="24"/>
  <c r="P29" i="24"/>
  <c r="L29" i="24"/>
  <c r="D29" i="24"/>
  <c r="P28" i="24"/>
  <c r="L28" i="24"/>
  <c r="D28" i="24"/>
  <c r="P27" i="24"/>
  <c r="L27" i="24"/>
  <c r="D27" i="24"/>
  <c r="P26" i="24"/>
  <c r="L26" i="24"/>
  <c r="D26" i="24"/>
  <c r="P25" i="24"/>
  <c r="L25" i="24"/>
  <c r="D25" i="24"/>
  <c r="P24" i="24"/>
  <c r="L24" i="24"/>
  <c r="D24" i="24"/>
  <c r="P23" i="24"/>
  <c r="L23" i="24"/>
  <c r="D23" i="24"/>
  <c r="P22" i="24"/>
  <c r="L22" i="24"/>
  <c r="D22" i="24"/>
  <c r="P21" i="24"/>
  <c r="L21" i="24"/>
  <c r="D21" i="24"/>
  <c r="P20" i="24"/>
  <c r="L20" i="24"/>
  <c r="D20" i="24"/>
  <c r="R19" i="24"/>
  <c r="Q19" i="24"/>
  <c r="O19" i="24"/>
  <c r="N19" i="24"/>
  <c r="M19" i="24"/>
  <c r="K19" i="24"/>
  <c r="G19" i="24"/>
  <c r="F19" i="24"/>
  <c r="E19" i="24"/>
  <c r="C19" i="24"/>
  <c r="P18" i="24"/>
  <c r="L18" i="24"/>
  <c r="D18" i="24"/>
  <c r="P17" i="24"/>
  <c r="L17" i="24"/>
  <c r="D17" i="24"/>
  <c r="P16" i="24"/>
  <c r="L16" i="24"/>
  <c r="D16" i="24"/>
  <c r="P15" i="24"/>
  <c r="L15" i="24"/>
  <c r="D15" i="24"/>
  <c r="P14" i="24"/>
  <c r="L14" i="24"/>
  <c r="D14" i="24"/>
  <c r="P13" i="24"/>
  <c r="L13" i="24"/>
  <c r="D13" i="24"/>
  <c r="R12" i="24"/>
  <c r="Q12" i="24"/>
  <c r="O12" i="24"/>
  <c r="N12" i="24"/>
  <c r="M12" i="24"/>
  <c r="K12" i="24"/>
  <c r="K39" i="24" s="1"/>
  <c r="G12" i="24"/>
  <c r="G39" i="24" s="1"/>
  <c r="F12" i="24"/>
  <c r="E12" i="24"/>
  <c r="C12" i="24"/>
  <c r="U13" i="21"/>
  <c r="Q13" i="21"/>
  <c r="U22" i="1"/>
  <c r="Q22" i="1"/>
  <c r="U37" i="18"/>
  <c r="Q37" i="18"/>
  <c r="I37" i="18"/>
  <c r="U36" i="18"/>
  <c r="Q36" i="18"/>
  <c r="I36" i="18"/>
  <c r="U35" i="18"/>
  <c r="Q35" i="18"/>
  <c r="I35" i="18"/>
  <c r="U34" i="18"/>
  <c r="Q34" i="18"/>
  <c r="I34" i="18"/>
  <c r="U33" i="18"/>
  <c r="Q33" i="18"/>
  <c r="I33" i="18"/>
  <c r="U32" i="18"/>
  <c r="Q32" i="18"/>
  <c r="I32" i="18"/>
  <c r="U31" i="18"/>
  <c r="Q31" i="18"/>
  <c r="I31" i="18"/>
  <c r="U30" i="18"/>
  <c r="Q30" i="18"/>
  <c r="I30" i="18"/>
  <c r="U29" i="18"/>
  <c r="Q29" i="18"/>
  <c r="I29" i="18"/>
  <c r="U28" i="18"/>
  <c r="Q28" i="18"/>
  <c r="I28" i="18"/>
  <c r="U27" i="18"/>
  <c r="Q27" i="18"/>
  <c r="I27" i="18"/>
  <c r="U26" i="18"/>
  <c r="Q26" i="18"/>
  <c r="I26" i="18"/>
  <c r="U25" i="18"/>
  <c r="Q25" i="18"/>
  <c r="I25" i="18"/>
  <c r="U24" i="18"/>
  <c r="Q24" i="18"/>
  <c r="I24" i="18"/>
  <c r="U23" i="18"/>
  <c r="Q23" i="18"/>
  <c r="I23" i="18"/>
  <c r="U22" i="18"/>
  <c r="Q22" i="18"/>
  <c r="I22" i="18"/>
  <c r="U21" i="18"/>
  <c r="Q21" i="18"/>
  <c r="I21" i="18"/>
  <c r="U20" i="18"/>
  <c r="Q20" i="18"/>
  <c r="I20" i="18"/>
  <c r="W19" i="18"/>
  <c r="V19" i="18"/>
  <c r="T19" i="18"/>
  <c r="S19" i="18"/>
  <c r="R19" i="18"/>
  <c r="P19" i="18"/>
  <c r="L19" i="18"/>
  <c r="K19" i="18"/>
  <c r="J19" i="18"/>
  <c r="H19" i="18"/>
  <c r="U18" i="18"/>
  <c r="Q18" i="18"/>
  <c r="I18" i="18"/>
  <c r="U17" i="18"/>
  <c r="Q17" i="18"/>
  <c r="I17" i="18"/>
  <c r="U16" i="18"/>
  <c r="Q16" i="18"/>
  <c r="I16" i="18"/>
  <c r="U15" i="18"/>
  <c r="Q15" i="18"/>
  <c r="I15" i="18"/>
  <c r="U14" i="18"/>
  <c r="Q14" i="18"/>
  <c r="I14" i="18"/>
  <c r="U13" i="18"/>
  <c r="Q13" i="18"/>
  <c r="I13" i="18"/>
  <c r="W12" i="18"/>
  <c r="V39" i="18"/>
  <c r="T39" i="18"/>
  <c r="S12" i="18"/>
  <c r="R39" i="18"/>
  <c r="P39" i="18"/>
  <c r="L39" i="18"/>
  <c r="K12" i="18"/>
  <c r="K39" i="18" s="1"/>
  <c r="S30" i="15"/>
  <c r="S28" i="15" s="1"/>
  <c r="O30" i="15"/>
  <c r="O28" i="15" s="1"/>
  <c r="G30" i="15"/>
  <c r="S29" i="15"/>
  <c r="O29" i="15"/>
  <c r="G29" i="15"/>
  <c r="E29" i="15" s="1"/>
  <c r="S27" i="15"/>
  <c r="O27" i="15"/>
  <c r="G27" i="15"/>
  <c r="E27" i="15" s="1"/>
  <c r="S26" i="15"/>
  <c r="O26" i="15"/>
  <c r="G26" i="15"/>
  <c r="E26" i="15" s="1"/>
  <c r="S25" i="15"/>
  <c r="O25" i="15"/>
  <c r="G25" i="15"/>
  <c r="E25" i="15" s="1"/>
  <c r="S24" i="15"/>
  <c r="O24" i="15"/>
  <c r="G24" i="15"/>
  <c r="E24" i="15" s="1"/>
  <c r="S23" i="15"/>
  <c r="O23" i="15"/>
  <c r="G23" i="15"/>
  <c r="E23" i="15" s="1"/>
  <c r="S22" i="15"/>
  <c r="O22" i="15"/>
  <c r="G22" i="15"/>
  <c r="E22" i="15" s="1"/>
  <c r="S21" i="15"/>
  <c r="O21" i="15"/>
  <c r="G21" i="15"/>
  <c r="E21" i="15" s="1"/>
  <c r="I35" i="15"/>
  <c r="I19" i="1" s="1"/>
  <c r="S18" i="15"/>
  <c r="O18" i="15"/>
  <c r="G18" i="15"/>
  <c r="E18" i="15" s="1"/>
  <c r="S17" i="15"/>
  <c r="O17" i="15"/>
  <c r="G17" i="15"/>
  <c r="E17" i="15" s="1"/>
  <c r="S16" i="15"/>
  <c r="O16" i="15"/>
  <c r="G16" i="15"/>
  <c r="E16" i="15" s="1"/>
  <c r="S15" i="15"/>
  <c r="O15" i="15"/>
  <c r="G15" i="15"/>
  <c r="E15" i="15" s="1"/>
  <c r="S14" i="15"/>
  <c r="O14" i="15"/>
  <c r="G14" i="15"/>
  <c r="E14" i="15" s="1"/>
  <c r="S13" i="15"/>
  <c r="O13" i="15"/>
  <c r="G13" i="15"/>
  <c r="U12" i="15"/>
  <c r="T12" i="15"/>
  <c r="T35" i="15" s="1"/>
  <c r="R12" i="15"/>
  <c r="Q12" i="15"/>
  <c r="Q35" i="15" s="1"/>
  <c r="P12" i="15"/>
  <c r="N12" i="15"/>
  <c r="N35" i="15" s="1"/>
  <c r="H12" i="15"/>
  <c r="F12" i="15"/>
  <c r="I17" i="14"/>
  <c r="G17" i="14" s="1"/>
  <c r="I16" i="14"/>
  <c r="G16" i="14" s="1"/>
  <c r="I15" i="14"/>
  <c r="G15" i="14" s="1"/>
  <c r="U14" i="14"/>
  <c r="U12" i="14" s="1"/>
  <c r="U22" i="14" s="1"/>
  <c r="Q14" i="14"/>
  <c r="Q12" i="14" s="1"/>
  <c r="Q22" i="14" s="1"/>
  <c r="I14" i="14"/>
  <c r="G14" i="14" s="1"/>
  <c r="I13" i="14"/>
  <c r="G13" i="14" s="1"/>
  <c r="U14" i="13"/>
  <c r="U12" i="13" s="1"/>
  <c r="Q14" i="13"/>
  <c r="Q12" i="13" s="1"/>
  <c r="U13" i="13"/>
  <c r="Q13" i="13"/>
  <c r="I13" i="13"/>
  <c r="G13" i="13" s="1"/>
  <c r="W16" i="13"/>
  <c r="V16" i="13"/>
  <c r="T16" i="13"/>
  <c r="S16" i="13"/>
  <c r="P16" i="13"/>
  <c r="L16" i="13"/>
  <c r="J18" i="1" s="1"/>
  <c r="K16" i="13"/>
  <c r="I18" i="1" s="1"/>
  <c r="J16" i="13"/>
  <c r="H18" i="1" s="1"/>
  <c r="P19" i="11"/>
  <c r="L19" i="11"/>
  <c r="D19" i="11"/>
  <c r="P18" i="11"/>
  <c r="L18" i="11"/>
  <c r="P17" i="11"/>
  <c r="L17" i="11"/>
  <c r="D17" i="11"/>
  <c r="P16" i="11"/>
  <c r="L16" i="11"/>
  <c r="L15" i="11"/>
  <c r="L14" i="11"/>
  <c r="D14" i="11"/>
  <c r="P13" i="11"/>
  <c r="P21" i="11" s="1"/>
  <c r="P12" i="11"/>
  <c r="L12" i="11"/>
  <c r="R16" i="1"/>
  <c r="Q16" i="1"/>
  <c r="W12" i="10"/>
  <c r="W39" i="10" s="1"/>
  <c r="V12" i="10"/>
  <c r="T12" i="10"/>
  <c r="S12" i="10"/>
  <c r="S39" i="10" s="1"/>
  <c r="R12" i="10"/>
  <c r="R39" i="10" s="1"/>
  <c r="P12" i="10"/>
  <c r="K12" i="10"/>
  <c r="K39" i="10" s="1"/>
  <c r="I15" i="1" s="1"/>
  <c r="J12" i="10"/>
  <c r="J39" i="10" s="1"/>
  <c r="H15" i="1" s="1"/>
  <c r="H39" i="10"/>
  <c r="U37" i="9"/>
  <c r="Q37" i="9"/>
  <c r="I37" i="9"/>
  <c r="U36" i="9"/>
  <c r="Q36" i="9"/>
  <c r="I36" i="9"/>
  <c r="U35" i="9"/>
  <c r="Q35" i="9"/>
  <c r="I35" i="9"/>
  <c r="U34" i="9"/>
  <c r="Q34" i="9"/>
  <c r="I34" i="9"/>
  <c r="U33" i="9"/>
  <c r="Q33" i="9"/>
  <c r="I33" i="9"/>
  <c r="U32" i="9"/>
  <c r="Q32" i="9"/>
  <c r="I32" i="9"/>
  <c r="U31" i="9"/>
  <c r="Q31" i="9"/>
  <c r="I31" i="9"/>
  <c r="U30" i="9"/>
  <c r="Q30" i="9"/>
  <c r="I30" i="9"/>
  <c r="U29" i="9"/>
  <c r="Q29" i="9"/>
  <c r="I29" i="9"/>
  <c r="U28" i="9"/>
  <c r="Q28" i="9"/>
  <c r="I28" i="9"/>
  <c r="U27" i="9"/>
  <c r="Q27" i="9"/>
  <c r="I27" i="9"/>
  <c r="U26" i="9"/>
  <c r="Q26" i="9"/>
  <c r="I26" i="9"/>
  <c r="U25" i="9"/>
  <c r="Q25" i="9"/>
  <c r="I25" i="9"/>
  <c r="U24" i="9"/>
  <c r="Q24" i="9"/>
  <c r="I24" i="9"/>
  <c r="U23" i="9"/>
  <c r="Q23" i="9"/>
  <c r="I23" i="9"/>
  <c r="U22" i="9"/>
  <c r="Q22" i="9"/>
  <c r="I22" i="9"/>
  <c r="U21" i="9"/>
  <c r="Q21" i="9"/>
  <c r="I21" i="9"/>
  <c r="U20" i="9"/>
  <c r="Q20" i="9"/>
  <c r="I20" i="9"/>
  <c r="W19" i="9"/>
  <c r="V19" i="9"/>
  <c r="T19" i="9"/>
  <c r="S19" i="9"/>
  <c r="R19" i="9"/>
  <c r="P19" i="9"/>
  <c r="L19" i="9"/>
  <c r="K19" i="9"/>
  <c r="J19" i="9"/>
  <c r="H19" i="9"/>
  <c r="W12" i="9"/>
  <c r="S12" i="9"/>
  <c r="K12" i="9"/>
  <c r="U15" i="8"/>
  <c r="U13" i="8" s="1"/>
  <c r="U17" i="8" s="1"/>
  <c r="Q15" i="8"/>
  <c r="Q13" i="8" s="1"/>
  <c r="Q17" i="8" s="1"/>
  <c r="I15" i="8"/>
  <c r="U14" i="1"/>
  <c r="T14" i="1"/>
  <c r="R14" i="1"/>
  <c r="Q14" i="1"/>
  <c r="P14" i="1"/>
  <c r="N14" i="1"/>
  <c r="U13" i="1"/>
  <c r="P13" i="1"/>
  <c r="I13" i="8" l="1"/>
  <c r="G15" i="8"/>
  <c r="F15" i="1"/>
  <c r="G28" i="15"/>
  <c r="E28" i="15" s="1"/>
  <c r="E30" i="15"/>
  <c r="Q18" i="1"/>
  <c r="R18" i="1"/>
  <c r="N19" i="1"/>
  <c r="T19" i="1"/>
  <c r="P15" i="1"/>
  <c r="U15" i="1"/>
  <c r="T18" i="1"/>
  <c r="Q15" i="1"/>
  <c r="N18" i="1"/>
  <c r="U18" i="1"/>
  <c r="Q19" i="1"/>
  <c r="O20" i="15"/>
  <c r="D21" i="11"/>
  <c r="G16" i="1" s="1"/>
  <c r="G20" i="15"/>
  <c r="E20" i="15" s="1"/>
  <c r="S20" i="15"/>
  <c r="L21" i="11"/>
  <c r="N26" i="1"/>
  <c r="T26" i="1"/>
  <c r="P39" i="10"/>
  <c r="V39" i="10"/>
  <c r="T39" i="10"/>
  <c r="H39" i="9"/>
  <c r="H35" i="15"/>
  <c r="H19" i="1" s="1"/>
  <c r="R35" i="15"/>
  <c r="I12" i="18"/>
  <c r="G12" i="18" s="1"/>
  <c r="G39" i="18" s="1"/>
  <c r="P35" i="15"/>
  <c r="R16" i="13"/>
  <c r="I16" i="13"/>
  <c r="U35" i="15"/>
  <c r="S12" i="15"/>
  <c r="O12" i="15"/>
  <c r="P12" i="24"/>
  <c r="P39" i="9"/>
  <c r="V39" i="9"/>
  <c r="L12" i="24"/>
  <c r="M39" i="24"/>
  <c r="F35" i="15"/>
  <c r="F19" i="1" s="1"/>
  <c r="Q13" i="1"/>
  <c r="R39" i="24"/>
  <c r="E39" i="24"/>
  <c r="O39" i="24"/>
  <c r="F39" i="24"/>
  <c r="N39" i="24"/>
  <c r="I30" i="26"/>
  <c r="P26" i="1"/>
  <c r="U26" i="1"/>
  <c r="H39" i="18"/>
  <c r="R39" i="9"/>
  <c r="W39" i="9"/>
  <c r="J39" i="9"/>
  <c r="I19" i="9"/>
  <c r="G19" i="9" s="1"/>
  <c r="U19" i="9"/>
  <c r="T22" i="1"/>
  <c r="N13" i="1"/>
  <c r="T13" i="1"/>
  <c r="U19" i="18"/>
  <c r="C39" i="24"/>
  <c r="Q19" i="18"/>
  <c r="T28" i="1"/>
  <c r="K39" i="9"/>
  <c r="S39" i="9"/>
  <c r="Q19" i="9"/>
  <c r="N16" i="1"/>
  <c r="T16" i="1"/>
  <c r="W39" i="18"/>
  <c r="J39" i="18"/>
  <c r="N22" i="1"/>
  <c r="R22" i="1"/>
  <c r="Q39" i="24"/>
  <c r="Q26" i="1"/>
  <c r="N28" i="1"/>
  <c r="R28" i="1"/>
  <c r="P22" i="1"/>
  <c r="P28" i="1"/>
  <c r="J13" i="1"/>
  <c r="R13" i="1"/>
  <c r="L39" i="9"/>
  <c r="T39" i="9"/>
  <c r="P16" i="1"/>
  <c r="U16" i="1"/>
  <c r="S39" i="18"/>
  <c r="D19" i="24"/>
  <c r="R26" i="1"/>
  <c r="D12" i="24"/>
  <c r="L19" i="24"/>
  <c r="P19" i="24"/>
  <c r="Q12" i="18"/>
  <c r="U12" i="18"/>
  <c r="I19" i="18"/>
  <c r="G12" i="15"/>
  <c r="E12" i="15" s="1"/>
  <c r="I12" i="14"/>
  <c r="Q16" i="13"/>
  <c r="U16" i="13"/>
  <c r="Q12" i="10"/>
  <c r="Q39" i="10" s="1"/>
  <c r="U12" i="10"/>
  <c r="U39" i="10" s="1"/>
  <c r="I12" i="10"/>
  <c r="Q12" i="9"/>
  <c r="U12" i="9"/>
  <c r="I12" i="9"/>
  <c r="G12" i="9" s="1"/>
  <c r="S14" i="1"/>
  <c r="O14" i="1"/>
  <c r="O13" i="1"/>
  <c r="U19" i="4"/>
  <c r="Q19" i="4"/>
  <c r="I19" i="4"/>
  <c r="G19" i="4" s="1"/>
  <c r="U18" i="4"/>
  <c r="Q18" i="4"/>
  <c r="I18" i="4"/>
  <c r="G18" i="4" s="1"/>
  <c r="U17" i="4"/>
  <c r="Q17" i="4"/>
  <c r="I17" i="4"/>
  <c r="G17" i="4" s="1"/>
  <c r="U15" i="4"/>
  <c r="Q15" i="4"/>
  <c r="I15" i="4"/>
  <c r="G15" i="4" s="1"/>
  <c r="U14" i="4"/>
  <c r="Q14" i="4"/>
  <c r="I14" i="4"/>
  <c r="G14" i="4" s="1"/>
  <c r="U13" i="4"/>
  <c r="Q13" i="4"/>
  <c r="I13" i="4"/>
  <c r="I39" i="10" l="1"/>
  <c r="G12" i="10"/>
  <c r="G26" i="1"/>
  <c r="E26" i="1" s="1"/>
  <c r="G30" i="26"/>
  <c r="G18" i="1"/>
  <c r="E18" i="1" s="1"/>
  <c r="G16" i="13"/>
  <c r="I17" i="8"/>
  <c r="G13" i="8"/>
  <c r="G17" i="8" s="1"/>
  <c r="I22" i="14"/>
  <c r="G12" i="14"/>
  <c r="G39" i="9"/>
  <c r="E14" i="1"/>
  <c r="O15" i="1"/>
  <c r="S18" i="1"/>
  <c r="R19" i="1"/>
  <c r="T15" i="1"/>
  <c r="O18" i="1"/>
  <c r="N15" i="1"/>
  <c r="S15" i="1"/>
  <c r="U19" i="1"/>
  <c r="P19" i="1"/>
  <c r="R15" i="1"/>
  <c r="L39" i="24"/>
  <c r="O22" i="1"/>
  <c r="S22" i="1"/>
  <c r="O28" i="1"/>
  <c r="P18" i="1"/>
  <c r="I39" i="18"/>
  <c r="P39" i="24"/>
  <c r="E28" i="1"/>
  <c r="E16" i="1"/>
  <c r="S26" i="1"/>
  <c r="O35" i="15"/>
  <c r="S35" i="15"/>
  <c r="G35" i="15"/>
  <c r="E22" i="1"/>
  <c r="S28" i="1"/>
  <c r="E13" i="1"/>
  <c r="O16" i="1"/>
  <c r="H25" i="4"/>
  <c r="F12" i="1" s="1"/>
  <c r="S13" i="1"/>
  <c r="U39" i="9"/>
  <c r="U39" i="18"/>
  <c r="Q39" i="18"/>
  <c r="I39" i="9"/>
  <c r="Q39" i="9"/>
  <c r="O26" i="1"/>
  <c r="S16" i="1"/>
  <c r="D39" i="24"/>
  <c r="U16" i="4"/>
  <c r="G22" i="14" l="1"/>
  <c r="G15" i="1"/>
  <c r="E15" i="1" s="1"/>
  <c r="G39" i="10"/>
  <c r="E35" i="15"/>
  <c r="G19" i="1"/>
  <c r="E19" i="1" s="1"/>
  <c r="S19" i="1"/>
  <c r="O19" i="1"/>
  <c r="U12" i="1"/>
  <c r="T12" i="1"/>
  <c r="R12" i="1"/>
  <c r="P12" i="1"/>
  <c r="N12" i="1"/>
  <c r="U23" i="4"/>
  <c r="Q23" i="4"/>
  <c r="I23" i="4"/>
  <c r="G23" i="4" s="1"/>
  <c r="U22" i="4"/>
  <c r="Q22" i="4"/>
  <c r="I22" i="4"/>
  <c r="G22" i="4" s="1"/>
  <c r="U21" i="4"/>
  <c r="Q21" i="4"/>
  <c r="I21" i="4"/>
  <c r="G21" i="4" s="1"/>
  <c r="U20" i="4"/>
  <c r="I20" i="4"/>
  <c r="G20" i="4" s="1"/>
  <c r="Q20" i="4" l="1"/>
  <c r="Q25" i="4" s="1"/>
  <c r="I25" i="4"/>
  <c r="U25" i="4"/>
  <c r="Q12" i="1"/>
  <c r="G25" i="4" l="1"/>
  <c r="G12" i="1"/>
  <c r="E12" i="1" s="1"/>
  <c r="S12" i="1"/>
  <c r="O12" i="1"/>
</calcChain>
</file>

<file path=xl/comments1.xml><?xml version="1.0" encoding="utf-8"?>
<comments xmlns="http://schemas.openxmlformats.org/spreadsheetml/2006/main">
  <authors>
    <author>Острешкина Наталья Иосифовна</author>
  </authors>
  <commentList>
    <comment ref="N19" authorId="0">
      <text>
        <r>
          <rPr>
            <b/>
            <sz val="9"/>
            <color indexed="81"/>
            <rFont val="Tahoma"/>
            <family val="2"/>
            <charset val="204"/>
          </rPr>
          <t>Острешкина Наталья Иосифовна:</t>
        </r>
        <r>
          <rPr>
            <sz val="9"/>
            <color indexed="81"/>
            <rFont val="Tahoma"/>
            <family val="2"/>
            <charset val="204"/>
          </rPr>
          <t xml:space="preserve">
85% от текущего содержания
</t>
        </r>
      </text>
    </comment>
  </commentList>
</comments>
</file>

<file path=xl/sharedStrings.xml><?xml version="1.0" encoding="utf-8"?>
<sst xmlns="http://schemas.openxmlformats.org/spreadsheetml/2006/main" count="1839" uniqueCount="464">
  <si>
    <t>№ п/п</t>
  </si>
  <si>
    <t>в т.ч.</t>
  </si>
  <si>
    <t xml:space="preserve"> - оплата труда и начисления на оплату труда</t>
  </si>
  <si>
    <t xml:space="preserve"> -приобретение объектов основных средств (СубКосгу 2100000)</t>
  </si>
  <si>
    <t>а</t>
  </si>
  <si>
    <t>б</t>
  </si>
  <si>
    <t>в</t>
  </si>
  <si>
    <t>г</t>
  </si>
  <si>
    <t>Средства федерального бюджета и бюджета автономного округа, руб.</t>
  </si>
  <si>
    <t>сумма, руб.</t>
  </si>
  <si>
    <t xml:space="preserve"> - расходы на коммунальные услуги (СубКосгу 1320000)</t>
  </si>
  <si>
    <t xml:space="preserve"> - расходы по содержанию имущества (СубКосгу 1330000)</t>
  </si>
  <si>
    <t>д</t>
  </si>
  <si>
    <t xml:space="preserve"> -прочие расходы, не учтенные в пунктах 
"а", "б", "в" и "д"</t>
  </si>
  <si>
    <t>ВСЕГО по программе</t>
  </si>
  <si>
    <t>ВСЕГО</t>
  </si>
  <si>
    <t>в том числе:</t>
  </si>
  <si>
    <t>доля софинансирования за счет средств местного бюджета, руб.</t>
  </si>
  <si>
    <t>средства местного бюджета, сверх доли софинансирования, из них:</t>
  </si>
  <si>
    <t>Свод</t>
  </si>
  <si>
    <t>направления расходов, на которые недостаточно средств</t>
  </si>
  <si>
    <t>2020 год</t>
  </si>
  <si>
    <t>2021 год</t>
  </si>
  <si>
    <t>В размере предельного объема, доведенного комитетом финансов (без учета расходов на гарантии и компенсации и на содержание ОМС )</t>
  </si>
  <si>
    <t>Дополнительная потребность исходя из минимальной обеспеченности (без учета расходов на гарантии и компенсации и на содержание ОМС )</t>
  </si>
  <si>
    <t>Расшифровка расходов на 2019 -2021 годы в разрезе направлений расходования средств и источников их финансового обеспечения</t>
  </si>
  <si>
    <t xml:space="preserve">Наименование основного мероприятия
</t>
  </si>
  <si>
    <t>….</t>
  </si>
  <si>
    <t xml:space="preserve">Наименование основного мероприятия
(лишние сроки исключать, при необходимости дополнительных - вставить)
</t>
  </si>
  <si>
    <t>Расходы на содержание казенного учреждения (указать краткое наименование), ВСЕГО</t>
  </si>
  <si>
    <t>Развитие образования в городе Покачи на 2019-2025 годы и на период до 2030 года</t>
  </si>
  <si>
    <t>Сохранение и развитие сферы культуры города Покачи на 2019-2025 годы и на период до 2030 года</t>
  </si>
  <si>
    <t>Развитие муниципальной службы в городе Покачи на 2019-2025 годы и на период до 2030 года</t>
  </si>
  <si>
    <t>Реализация молодежной политики на территории города Покачи на 2019-2025 годы и на период до 2030 года</t>
  </si>
  <si>
    <t>Обеспечение экологической безопасности на территории города Покачи на 2019-2025 годы и на период до 2030 года</t>
  </si>
  <si>
    <t>Поддержка социально-ориентированных некоммерческих организаций города Покачи на 2019-2030 годы</t>
  </si>
  <si>
    <t>Разработка документов градостроительного регулирования города Покачи на 2019-2025 годы и на период до 2030 года</t>
  </si>
  <si>
    <t>Развитие транспортной системы города Покачи на 2019-2025 годы и на период до 2030 года</t>
  </si>
  <si>
    <t xml:space="preserve"> Муниципальная программа "Реализация молодежной политики на территории города Покачи на 2019-2025 годы и на период до 2030 года"</t>
  </si>
  <si>
    <t>Информационное общество города Покачи на 2019-2025 годы и на период до 2030 года</t>
  </si>
  <si>
    <t>Расшифровка расходов на 2020 -2022 годы в разрезе направлений расходования средств и источников их финансового обеспечения</t>
  </si>
  <si>
    <t>2022 год</t>
  </si>
  <si>
    <t>Субсидия на выполнение муниципального задания по сфере: (указать краткое наименование всех учреждений), ВСЕГО</t>
  </si>
  <si>
    <t>Муниципальная программа "Организация отдыха детей города Покачи в каникулярное время на 2019-2025 и на период до 2030 года"</t>
  </si>
  <si>
    <t>Муниципальная программа "Осуществление материально-технического обеспечения деятельности органов местного самоуправления, казенных учреждений города Покачи, финансовое обеспечение деятельности которых осуществляется за счет средств бюджета города Покачи на основании бюджетной сметы на 2019-2025 годы ина период до 2030года"</t>
  </si>
  <si>
    <t>Муниципальная программа "Сохранение и развитие сферы культуры города Покачи на 2019-2025 годы и на период до 2030 года"</t>
  </si>
  <si>
    <t>Муниципальная программа "Развитие муниципальной службы в городе Покачи на 2019-2025 годы и на период до 2030 года"</t>
  </si>
  <si>
    <t>Муниципальная программа "Улучшение условий и охраны труда на территории города Покачи на 2019-2022 годы"</t>
  </si>
  <si>
    <t>Муниципальная программа "Профилактика терроризма и экстремизма, создание на территории города Покачи комфортной среды для проживания многонационального общества в  2019-2025 годах и на период до 2030 года"</t>
  </si>
  <si>
    <t>Муниципальная программа "Поддержка и развитие малого и среднего предпринимательства, агропромышленного комплекса на территории города Покачи на 2019-2030 годы"</t>
  </si>
  <si>
    <t>Муниципальная программа "Разработка документов градостроительного регулирования города Покачи на 2019-2025 годы и на период до 2030 года"</t>
  </si>
  <si>
    <t>Муниципальная программа "Противодействие коррупции в муниципальном образовании город Покачи на 2019 - 2025 годы и на период до 2030 года"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</si>
  <si>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 на 2019 - 2025
 и на период до 2030 года"</t>
  </si>
  <si>
    <t>Муниципальная программа "Управление муниципальными финансами города Покачи на 2019-2030 годы"</t>
  </si>
  <si>
    <t>Муниципальная программа "Развитие транспортной системы города Покачи на 2019-2025 годы и на период до 2030 года"</t>
  </si>
  <si>
    <t>Муниципальная программа "Обеспечение жильем молодых семей в 2019 - 2025 годах и на период до 2030 года на территории города Покачи"</t>
  </si>
  <si>
    <t>Муниципальная программа "Обеспечение условий для развития физической культуры, школьного спорта и массового спорта в городе Покачи на 2019-2025 годы и на период до 2030 года"</t>
  </si>
  <si>
    <t>Муниципальная программа "Реализация отдельных государственных полномочий в сфере опеки и попечительства в городе Покачи на 2019-2025 и на период до 2030 года"</t>
  </si>
  <si>
    <t>Муниципальная программа "Поддержка социально-ориентированных некоммерческих организаций города Покачи на 2019-2030 годы"</t>
  </si>
  <si>
    <t>Муниципальная программа "Развитие жилищно-коммунального комплекса и повышение энергетической эффективности на 2019-2024 годы и на период до 2030 года  в городе Покачи"</t>
  </si>
  <si>
    <t>Муниципальная программа "Обеспечение безопасности жизнедеятельности населения на территории города Покачи в 2019 - 2025 годах и на период до 2030 года"</t>
  </si>
  <si>
    <t>Муниципальная программа "Обеспечение экологической безопасности на территории города Покачи на 2019-2025 годы и на период до 2030 года"</t>
  </si>
  <si>
    <t>Муниципальная программа "Информационное общество города Покачи на 2019-2025 годы и на период до 2030 года"</t>
  </si>
  <si>
    <t>Муниципальная программа "Развитие образования в городе Покачи на 2019-2025 годы и на период до 2030 года"</t>
  </si>
  <si>
    <t>Муниципальная программа "Формирование современной городской среды в муниципальном образовании город Покачи на 2019-2025 годы и на период до 2030 года""</t>
  </si>
  <si>
    <t>Муниципальная программа "Формирование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2019-2030 годы"</t>
  </si>
  <si>
    <t>Организация отдыха детей города Покачи в каникулярное время на 2019-2025 и на период до 2030 года</t>
  </si>
  <si>
    <t>Профилактика терроризма и экстремизма, создание на территории города Покачи комфортной среды для проживания многонационального общества в  2019-2025 годах и на период до 2030 года</t>
  </si>
  <si>
    <t>Поддержка и развитие малого и среднего предпринимательства, агропромышленного комплекса на территории города Покачи на 2019-2030 годы</t>
  </si>
  <si>
    <t>Противодействие коррупции в муниципальном образовании город Покачи на 2019 - 2025 годы и на период до 2030 года</t>
  </si>
  <si>
    <t>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 на 2019 - 2025 и на период до 2030 года</t>
  </si>
  <si>
    <t>Развитие жилищно-коммунального комплекса и повышение энергетической эффективности на 2019-2024 годы и на период до 2030 года  в городе Покачи</t>
  </si>
  <si>
    <t>Обеспечение безопасности жизнедеятельности населения на территории города Покачи в 2019 - 2025 годах и на период до 2030 года</t>
  </si>
  <si>
    <t>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 на 2019-2030 годы</t>
  </si>
  <si>
    <t>Подпрограмма 1 «Организация бюджетного процесса в городе Покачи»</t>
  </si>
  <si>
    <t>1.2</t>
  </si>
  <si>
    <t>1.3</t>
  </si>
  <si>
    <t>Обеспечение деятельности органов местного самоуправления осуществляющие отдельные переданные государственные полномочия
(ц.п.2)</t>
  </si>
  <si>
    <t>1.4</t>
  </si>
  <si>
    <t>Обеспечение деятельности муниципального учреждения «Центр по бухгалтерскому и экономическому обслуживанию»
(ц.п.2)</t>
  </si>
  <si>
    <t>1.5</t>
  </si>
  <si>
    <t>1.6</t>
  </si>
  <si>
    <t xml:space="preserve">Формирование в бюджете города Покачи резервного фонда администрации города в соответствии с требованиями Бюджетного кодекса Российской Федерации
(ц.п.6)
</t>
  </si>
  <si>
    <t>2</t>
  </si>
  <si>
    <t>Подпрограмма 2 «Управление муниципальным долгом города Покачи»</t>
  </si>
  <si>
    <t>2.1</t>
  </si>
  <si>
    <t>Обслуживание муниципального долга города Покачи</t>
  </si>
  <si>
    <t>Муниципальные выборы</t>
  </si>
  <si>
    <t>Награды, премии, почетные грамоты главы города Покачи, председателя Думы города Покачи</t>
  </si>
  <si>
    <t>Ежемесячное денежное возмещение расходов по оплате проезда гражданам, страдающим хронической почечной недостаточностью и нуждающимся в процедуре программного гемодиализа</t>
  </si>
  <si>
    <t>Условно утверждаемые расходы (ст.184,1 БК РФ) 2021 год 2,5%; 2022 год 5%</t>
  </si>
  <si>
    <t xml:space="preserve">Муниципальная программа города Покачи "Ликвидация и расселение приспособленных для проживания строений на период 2019-2025 годах и на период до 2030 года" НЕ ДЕЙСТВУЕТ </t>
  </si>
  <si>
    <t>Предоставление молодым семьям субсидий в виде социальных выплат на приобретение (строительство) жилых помещений в собственность, ВСЕГО</t>
  </si>
  <si>
    <r>
      <t xml:space="preserve">Приобретение жилых помещений для </t>
    </r>
    <r>
      <rPr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переселения граждан из жилых домов, признанных аварийными; </t>
    </r>
    <r>
      <rPr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обеспечение жильем граждан, состоящих на учете для его получения на условиях социального найма, а также формирование маневренного жилищного фонда, ВСЕГО</t>
    </r>
  </si>
  <si>
    <t>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года, ВСЕГО</t>
  </si>
  <si>
    <t>Финансовое обеспечение деятельности ВУС  не в полном объеме обеспечивается за счет средств федерального бюджета</t>
  </si>
  <si>
    <t>Оплата проживания в командировках</t>
  </si>
  <si>
    <t xml:space="preserve"> оплата суточных на курсы повышения квалификации  </t>
  </si>
  <si>
    <t>оплата суточных при командировках</t>
  </si>
  <si>
    <t>оплата проезда в командировки</t>
  </si>
  <si>
    <t>оплата презда на курсы повышения квалификации</t>
  </si>
  <si>
    <t>оплта проживания при повышении квалификации</t>
  </si>
  <si>
    <t>Оплата курсов повышения квалификации</t>
  </si>
  <si>
    <t>Расходы на обязательные медосмотры</t>
  </si>
  <si>
    <t xml:space="preserve"> услуги почтовой связи</t>
  </si>
  <si>
    <t>различного рода платежи, сборыгосударственные пошлины, лицензии;</t>
  </si>
  <si>
    <t xml:space="preserve">приобретение канцелярских принадлежностей </t>
  </si>
  <si>
    <t xml:space="preserve">Хоз.товары </t>
  </si>
  <si>
    <t xml:space="preserve"> чистящие и моющие средства</t>
  </si>
  <si>
    <t xml:space="preserve"> одежда и обувь</t>
  </si>
  <si>
    <t xml:space="preserve">услуги местной телефонной связи (для голосового оповещения ТАСЦО) </t>
  </si>
  <si>
    <t>Техническое обслуживание оборудования (сплит-система)</t>
  </si>
  <si>
    <t>Организация и обеспечение электросвязи по цифровому потоку Е1 для обеспечения работы единого номера вызова экстренных служб и срочного информирования населения о ЧС</t>
  </si>
  <si>
    <t xml:space="preserve"> Приобретение и внедрение специализированного программного обеспечения</t>
  </si>
  <si>
    <t>Сопровождение компьютерных программ</t>
  </si>
  <si>
    <t>Организация и обеспечение каналов связи IP VPN (для обеспечения работы ТАСЦО)</t>
  </si>
  <si>
    <t>Техническое обслуживание Системы ТАСЦО</t>
  </si>
  <si>
    <t>Управление объектами муниципального имущества и земельными участками, государственная собственность на которые не разграничена, ВСЕГО</t>
  </si>
  <si>
    <t>Оказание услуг по заключению договоров социального найма</t>
  </si>
  <si>
    <t>Выполнение кадастровых работ для осуществления государственного кадастрового учета земельных участков (СубКосгу 180.13.01)</t>
  </si>
  <si>
    <t>Оценка земельных участков(СубКосгу 180.13.16)</t>
  </si>
  <si>
    <t>Оценка муниципального имущества(СубКосгу 180.13.16)</t>
  </si>
  <si>
    <t>Инвентаризация первичная(СубКосгу 180.13.12)</t>
  </si>
  <si>
    <t>е</t>
  </si>
  <si>
    <t>Инвентаризация вторичная(СубКосгу 180.13.13)</t>
  </si>
  <si>
    <t>Содержание муниципального имущества, ВСЕГО</t>
  </si>
  <si>
    <t>Взносы на капитальный ремонт в Югорский фонд по капитальному ремонту(СубКосгу 180.13.24)</t>
  </si>
  <si>
    <t>Техническое обслуживание жилого фонда (за 1 кв.м.)(СубКосгу 180.13.21)</t>
  </si>
  <si>
    <t>Отопление, водопотребление, водоотведение, электроэнергия, утилизация ТБО муниципального жилого фонда(СубКосгу 180.13.22)</t>
  </si>
  <si>
    <t>Передача тепловой энергии(СубКосгу 180.13.32)</t>
  </si>
  <si>
    <t>Установка или замена приборов учета тепла, воды, электроэнергии(СубКосгу 133.22.00)</t>
  </si>
  <si>
    <t>Страхование муниципального имущества</t>
  </si>
  <si>
    <t>Ремонтные работы объектов муниципальной собственности, ВСЕГО</t>
  </si>
  <si>
    <t>Установка оконных блоков из ПВХ по ул.Комсомольская д.2 кв.38</t>
  </si>
  <si>
    <t>Инвентаризация сетей ГВС, ХВС, ТС с целью подготовки тезхнических планов для передачи их в дальнейшем в концессию</t>
  </si>
  <si>
    <t>Страхование муниципального имущества: объекты недвижимосьти, инженерные коммуникации</t>
  </si>
  <si>
    <t>Свободные муниципальные жилые (нежилые)помещения</t>
  </si>
  <si>
    <t>Установка приборов учета в муниципальных квартирах</t>
  </si>
  <si>
    <t xml:space="preserve">Проведение кадастровых работ по формированию земельных участков для строительства 2-х жилых домов в 4 мкр. 13 520 кв.м и 12 151 кв. </t>
  </si>
  <si>
    <t xml:space="preserve">взносы на капитальный ремонт общего имущества, согласно площади муниципальных квартир (11326,03 кв.м) </t>
  </si>
  <si>
    <t xml:space="preserve">Оценка коммунальных сетей </t>
  </si>
  <si>
    <t xml:space="preserve"> - Курсы повышения квалификации, семинары и иное обучение специалистов</t>
  </si>
  <si>
    <t xml:space="preserve"> - Дополнительное пенсионное обеспечение муниципальных служащих (СубКосгу 123.05.00)</t>
  </si>
  <si>
    <t xml:space="preserve"> - Курсы повышения квалификации, семинары и иное обучение специалистов (СубКосгу 1720000)</t>
  </si>
  <si>
    <t>Дополнительное пенсионное обеспечение муниципальных служащих</t>
  </si>
  <si>
    <t xml:space="preserve"> - Курсы повышения квалификации, семинары и иное обучение специалистов </t>
  </si>
  <si>
    <t>Субсидии социально ориентированным некоммерческим организациям</t>
  </si>
  <si>
    <t>Расходы на содержание казенного учреждения (ОпоСВиСО), ВСЕГО</t>
  </si>
  <si>
    <t>Расходы по формированию условий для беспрепятственного доступа инвалидов и других маломобильных групп населения к объектам и услугам в приоритетных сферах жизнедеятельности инвалидов и других маломобильных групп населения город Покачи (субсидии на иные цели автономным учреждениям)</t>
  </si>
  <si>
    <t>Субсидия на выполнение муниципального задания по сфере: (МАУ "РГ "ПВ"), ВСЕГО</t>
  </si>
  <si>
    <t>Награды, премии, почетные грамоты</t>
  </si>
  <si>
    <t xml:space="preserve">Муниципальная программа </t>
  </si>
  <si>
    <t>Развитие информационной структуры в городе Покачи</t>
  </si>
  <si>
    <t>Обеспечение условий для развития физической культуры, школьного спорта и массового спорта в городе Покачи на 2019-2025 годы и на период до 2030 года</t>
  </si>
  <si>
    <t>Повышение антитеррористической защищенности объектов, находящихся в муниципальной собственности, ВСЕГО</t>
  </si>
  <si>
    <t>Оборудование (дооборудование сисемы видеонаблюдения в администрации города Покачи)</t>
  </si>
  <si>
    <t xml:space="preserve">пункт 23 статьи 4 Постановления 272 от 25.03.2015 все места массового пребывания людей независимо от установленной категории оборудуются.а) системой видеонаблюдения. </t>
  </si>
  <si>
    <t>Профилактика экстремизма, укрепление межнационального согласия, ВСЕГО</t>
  </si>
  <si>
    <t>2.11. Формирование у подрастающего поколения уважительного отношения ко всем этносам и религиям</t>
  </si>
  <si>
    <t>МАДОУ ДСКВ "Рябинушка"</t>
  </si>
  <si>
    <t>МАОУ СОШ №2</t>
  </si>
  <si>
    <t>Заработная оплата труда и начисления на оплату труда</t>
  </si>
  <si>
    <t>Организация работы малозатратных форм отдыха детей в каникулярное время (показатель №5)(ДК "Октябрь", МАУ СОК "Звездный"- дворовые клубы и площадки, МАУ "Городская библиотека имени А.А. Филатова" - клуб по интересам "Волшебный фонарик"), ВСЕГО</t>
  </si>
  <si>
    <t>Организация работы городских лагерей различных типов в каникулярное время   (показатели №1, №2) (Лагеря с дневным пребыванием детей: МАОУ СОШ №2, МАОУ СОШ №4, МАДОУ ДСКВ "Солнышко", ДК "Октябрь", МАУ ДО "ДШИ", МАУ "СШ"), ВСЕГО</t>
  </si>
  <si>
    <t>Канцелярские принадлежности - 44 500,00, спортивный инвенатрь - 32 300,00, хозяйственные товары - 3 000,00, прочие медикаменты- 9000,00</t>
  </si>
  <si>
    <t>Лагерь с дневным пребыванием на базе некоммерческой организации</t>
  </si>
  <si>
    <t>Бухгалтерско-экономическое обслуживание организации отдыха детей и молодежи</t>
  </si>
  <si>
    <t>Консультационный пункт при управлении образования</t>
  </si>
  <si>
    <t>Организация отдыха и оздоровление детей за пределами города Покачи</t>
  </si>
  <si>
    <t>Организация и проведение городских конкурсов</t>
  </si>
  <si>
    <t>Организация и проведение городского фестиваля КВН</t>
  </si>
  <si>
    <t>Организация и проведение Дня молодежи</t>
  </si>
  <si>
    <t>Участие в конкурсах, соревнованиях, фестивалях различных уровней</t>
  </si>
  <si>
    <t>Организация и проведение Дня призывника</t>
  </si>
  <si>
    <t>Организация и проведение акций, мероприятий по инициативе молодежи города</t>
  </si>
  <si>
    <t>Городская  торжественная линейка посвященная выпуску 2019 года</t>
  </si>
  <si>
    <t>Для награждения выпускников общеобразовательных школ</t>
  </si>
  <si>
    <t>Муниципальный этап спартакиады допризывной молодежи</t>
  </si>
  <si>
    <t>Для проведения муниципального этапа спартакиады допризывной молодежи</t>
  </si>
  <si>
    <t>Организация и проведение муниципального этапа проекта «Молодежная лига управленцев Югры»</t>
  </si>
  <si>
    <t xml:space="preserve">Организация и проведение Городского слета волонтеров </t>
  </si>
  <si>
    <t>Организация работы Городского Добровольческого центра «Мир добра»</t>
  </si>
  <si>
    <t>Субсидия на выполнение муниципального задания по сфере культуры: (МАУ "Краеведческий музей", МАУ "Городская библиотека имени А.А. Филатова", МАУ ДК "Октябрь"), ВСЕГО</t>
  </si>
  <si>
    <t>расходы на коммунальные услуги</t>
  </si>
  <si>
    <t>расходы по содержанию имущества</t>
  </si>
  <si>
    <t>Расходы на услуги связи, сопровождение компьютерных программ, командировочные расходы, повышение квалификации работников учреждений, приобретение материальных запасов, прохождение медицинского осмотра.</t>
  </si>
  <si>
    <t>Субсидия на выполнение муниципального задания по сфере культуры: (МАУДО "ДШИ"), ВСЕГО</t>
  </si>
  <si>
    <t>Расходы на приобретение оборудования, учебной литературы</t>
  </si>
  <si>
    <t>Программные мероприятия подпрограммы "Библиотечное дело"</t>
  </si>
  <si>
    <t>Программные мероприятия подпрограммы "Художественное образование"</t>
  </si>
  <si>
    <t>Программные меропритяия подпрограммы "Создание условий для развития творческого потенциала, народного творчества и традиционной культуры жителей города Покачи"</t>
  </si>
  <si>
    <t>Программные мероприятия подпрограммы "Музейное дело"</t>
  </si>
  <si>
    <t>Иные цели</t>
  </si>
  <si>
    <t>Монтаж охранной сигнализации, приобретение оборудования, ремонтные работы.</t>
  </si>
  <si>
    <t>Субсидия на выполнение муниципального задания по сфере: (МАУ СОК "Звездный", МАУ "СШ"), ВСЕГО</t>
  </si>
  <si>
    <t>Расходы на услуги связи, сопровождение компьютерных программ, командировочные расходы, повышение квалификации работников учреждений, приобретение материальных запасов, организацию и проведение муниципальных физкультурно-оздоровительных и спортивных мероприятий, расходы на формирование и обеспечение спортивных сборных команд в тренировочныхсборах и соревнованиях (согласно календарному плану), расходы на организацию спортивной подготовки , оказание медицинских услуг</t>
  </si>
  <si>
    <t>Обеспечение доставки для прохождения УМО спортсменов спортивных сборных команд автономного округа, выполнение программы производственного контроля, замена светильников освещения, строительные материалы, ремонтные работы</t>
  </si>
  <si>
    <t>I. Подпрограмма "Общее образование"</t>
  </si>
  <si>
    <t>1.1.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</si>
  <si>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</si>
  <si>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</si>
  <si>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Субсидия на выполнение муниципального задания по сфере: (МАОУ СОШ №1, МАОУ СОШ №2, МАОУ СОШ №4, МАДОУ ДСКВ "Сказка", МАДОУ ДСКВ "Солнышко", МАДОУ ЦРР-д/сад, МАДОУ ДСКВ "Рябинушка", МАДОУ ДСКВ "Югорка"), ВСЕГО</t>
  </si>
  <si>
    <t>Содержание имущества ДОУ, СОШ</t>
  </si>
  <si>
    <t>1.2.</t>
  </si>
  <si>
    <t>Региональный проект "Учитель будущего"</t>
  </si>
  <si>
    <t>(День учителя, Педагог года, Августовская конференция)</t>
  </si>
  <si>
    <t>1.3.</t>
  </si>
  <si>
    <t>Региональный проект "Поддержка семей, имеющих детей"</t>
  </si>
  <si>
    <t>1.4.</t>
  </si>
  <si>
    <t>Региональный проект "Современная школа"</t>
  </si>
  <si>
    <t>1.5.</t>
  </si>
  <si>
    <t>Региональный проект "Цифровая образовательная среда"</t>
  </si>
  <si>
    <t>1.6.</t>
  </si>
  <si>
    <t>Региональный проект "Успех каждого ребенка"</t>
  </si>
  <si>
    <t>Олимпиады - 184 446,0; мероприятия/соревнования (в т.ч.выездные) - 1 763 078,0</t>
  </si>
  <si>
    <t>II. Подпрограмма "Развитие гражданской активности у обучающихся образовательных организаций"</t>
  </si>
  <si>
    <t>2.1.</t>
  </si>
  <si>
    <t>Региональный проект "Социальная активность"</t>
  </si>
  <si>
    <t>III. Подпрограмма "Ресурсное обеспечение в сфере образования"</t>
  </si>
  <si>
    <t>3.1.</t>
  </si>
  <si>
    <t xml:space="preserve">Обеспечение комплексной безопасности образовательных организаций города Покачи </t>
  </si>
  <si>
    <t>3.2.</t>
  </si>
  <si>
    <t>3.3.</t>
  </si>
  <si>
    <t xml:space="preserve">Региональный проект "Содействие занятости женщин - создание условий дошкольного образования для детей в возрасте до трех лет" </t>
  </si>
  <si>
    <t>Сопровождение компьютерных программ  (СУБКОСГУ 135.01.00)</t>
  </si>
  <si>
    <t>Тех. обслуживание  оргтехники (СУБКОСГУ 135.02.00)</t>
  </si>
  <si>
    <t>Ремонт оргтехники (СУБКОСГУ 135.03.00)</t>
  </si>
  <si>
    <t>Заправка картриджей (СУБКОСГУ 135.05.00)</t>
  </si>
  <si>
    <t>Услуги по разработке, созданию и сопровождению сайта (СУБКОСГУ 135.06.00)</t>
  </si>
  <si>
    <t>ж</t>
  </si>
  <si>
    <t>Приобретение и внедрение специализированного программного обеспечения (СУБКОСГУ 135.09.00)</t>
  </si>
  <si>
    <t>з</t>
  </si>
  <si>
    <t>Услуги по изготовлению сертификатов ключей электронной подписи (СУБКОСГУ 135.10.00)</t>
  </si>
  <si>
    <t>и</t>
  </si>
  <si>
    <t>Запасные части к оргтехнике (СУБКОСГУ 155.12.00)</t>
  </si>
  <si>
    <t>к</t>
  </si>
  <si>
    <t>Предоставление услуг и работы проводимые в рамках защиты информации (СУБКОСГУ 178.49.01)</t>
  </si>
  <si>
    <t>л</t>
  </si>
  <si>
    <t>Услуги "Интернет" (СУБКОСГУ 131.03.00)</t>
  </si>
  <si>
    <t>итого потребность по мероприятию</t>
  </si>
  <si>
    <t xml:space="preserve">Текущие расходы: 
135.01.00 Сопровождение компьютерных программ
178.49.01 Предоставление услуг и работы проводимые в рамках защиты информации
131.03.00 Услуги "Интернет"
155.12.00 Запасные части к оргтехнике
135.06.00 Услуги по разработке, созданию и сопровождению сайта
</t>
  </si>
  <si>
    <t>Оргтехника и комплектующие (СУБКОСГУ 135.02.00)</t>
  </si>
  <si>
    <t>Оборудование (СУБКОСГУ 135.02.00)</t>
  </si>
  <si>
    <t>Подпрограмма I «Поддержка и развитие малого и среднего предпринимательства на территории города Покачи»</t>
  </si>
  <si>
    <t>Создание условий для развития субъектов малого и среднего предпринимательства</t>
  </si>
  <si>
    <t xml:space="preserve">Финансовая поддержка субъектов малого и среднего предпринимательства, осуществляющих социально-значимые виды деятельности ,определенные муниципальными образованиями и деятельность в социальной сфере </t>
  </si>
  <si>
    <t xml:space="preserve">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</si>
  <si>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Подпрограмма II «Развитие агропромышленного комплекса и рынков сельскохозяйственной продукции, сырья и продовольствия на территории города Покачи»</t>
  </si>
  <si>
    <t xml:space="preserve">Увеличение объемов производства и переработки основных видов сельскохозяйственной продукции </t>
  </si>
  <si>
    <t>Подпрограмма III «Обеспечение защиты прав потребителей»</t>
  </si>
  <si>
    <t xml:space="preserve">Обеспечение доступности правовой помощи потребителям </t>
  </si>
  <si>
    <t>МАОУ СОШ №1</t>
  </si>
  <si>
    <t>МАОУ СОШ №4</t>
  </si>
  <si>
    <t>МАДОУ ДСКВ "Сказка"</t>
  </si>
  <si>
    <t>МАДОУ ДСКВ "Солнышко"</t>
  </si>
  <si>
    <t>МАДОУ ЦРР-д\сад</t>
  </si>
  <si>
    <t>МАДОУ ДСКВ "Югорка"</t>
  </si>
  <si>
    <t>Подпрограмма 1. Организация перевозок населения города общественным транспортом</t>
  </si>
  <si>
    <t>Подпрограмма 2. Строительство и совершенствование существлующих автомобильных дорог путем реконструкции, капитального ремонта, ремонта</t>
  </si>
  <si>
    <t>Строительство и реконструкция автомобильных дорог общего пользования города Покачи</t>
  </si>
  <si>
    <t>Строительство автомобильных дорог 4 категории 8 микрорайона (коттеджная застройка) 9 000 000,00 руб., 6 микрорайона (коттеджная застройка)15 000 000,00 руб.</t>
  </si>
  <si>
    <t>Капитальный ремонт и ремонт автомобильных дорог города Покачи</t>
  </si>
  <si>
    <t>Ремонт автомобильной дороги по ул. Пионерная 8 385 000,00 руб., ул. Тихая 5 000 000,00 руб., ул. Северная 7000 000,00 руб.</t>
  </si>
  <si>
    <t>ПИР дорог</t>
  </si>
  <si>
    <t>ПИР дорог микрорайона №4 (ул. Комсомольская, д.12, ул. Югорская, ул. Мира)</t>
  </si>
  <si>
    <t>Подпрограмма 3. Сохранность и приведение в нормативное состояние дорожного полотна и инженерного оборудования, автомобильных дорог города Покачи</t>
  </si>
  <si>
    <t>Содержание и приведение в нормативное состояние дорожного полотна и инженерного оборудования автомобильных дорог города Покачи</t>
  </si>
  <si>
    <t>Подпрограмма II. Организация мероприятий по охране окружающей среды</t>
  </si>
  <si>
    <t>Ликвидация мест несанкционированного размещения отходов производства и потребления на территории города и территорий городских лесов</t>
  </si>
  <si>
    <t>Эколого-просветительские мероприятия</t>
  </si>
  <si>
    <t>Подпрограмма III. Благоустройство рекреационных зон</t>
  </si>
  <si>
    <t>Санитарное содержание и озеленение территории города</t>
  </si>
  <si>
    <t>Прочие мероприятия по благоустройству рекреационных зон</t>
  </si>
  <si>
    <t>Подпрограмма IV. Организация противоэпидемических мероприятий</t>
  </si>
  <si>
    <t>Проведение дезинсекционной (лаврицидной), акарицидной обработок и барьерной дератизации</t>
  </si>
  <si>
    <t>Повышение квалификации работников в области охраны труда</t>
  </si>
  <si>
    <t xml:space="preserve">Повышение профессиональной компетентности муниципальных служащих </t>
  </si>
  <si>
    <t>Повышение социального уровня лиц, замещавших должности муниципальной службы и муниципальные должности в органах местного самоуправления города Покачи</t>
  </si>
  <si>
    <t>Создание в органах местного самоуправления города Покачи комплексной системы противодействия коррупции</t>
  </si>
  <si>
    <t>Питьевой режим (бутилированная вода) -128 520,00 (постановление от 19.04.2010 №25 ""Об утверждении Сан пиН 2.4.4.2599-10),
санитарно-эпидемиологическое заключение- 132 000,00 (Федеральный закон от 29.07.2017 №221-ФЗ),
медицинские расходы - 251 424,00 (постановление от 19.04.2010 №25 ""Об утверждении Сан пиН 2.4.4.2599-10);
проведение обследования на носительство вирусных кишечных инфекций работников пищеблока  (постановление главного государственного санитарного врача по ХМАО-Югре от 11.05.2017 №7)-16000,00,
 проведение санитарно-бактериологических, химических исследований - 24 665,04, 
канцелярские принадлежности - 69 127,55,
 хозяйственные товары, чистящие и моющие средства - 60 469,00, 
прочие медикаменты - 58 962,60, 
оргтехника и комплектующие - 73 300,00, 
спортивный инвентарь - 65 500,00, 
прочие расходы - 189 569,50.</t>
  </si>
  <si>
    <t>оплата труда и начисления на оплату труда</t>
  </si>
  <si>
    <t>оплата потребления тепловой энергии, водоснабжение, водоотведение, электрической энергии</t>
  </si>
  <si>
    <t>пожарная сигнализация</t>
  </si>
  <si>
    <t>оплата услуг связи, расходов за наем транспорта, услуг по печати газеты,приобретение хозяйственных товаров, канцелярских принадлежностей</t>
  </si>
  <si>
    <t>Реализация мер поддержки лиц, внесших выдающийся вклад в развитие города Покачи</t>
  </si>
  <si>
    <t>Денежное вознаграждение почетным жителям города Покачи</t>
  </si>
  <si>
    <t>Оказание финансовой поддержки социально ориентированным некоммерческим организациям</t>
  </si>
  <si>
    <t>Проведение ремонтных и строительно-монтажных работ по созданию доступной (безбарьерной) среды муниципальных объектов</t>
  </si>
  <si>
    <t>Субсидии автономным учвреждениям на иные цели</t>
  </si>
  <si>
    <t>Подпрограмма I. Создание условий для обеспечения качественными коммунальными услугами</t>
  </si>
  <si>
    <t>Капитальный ремонт объектов теплоснабжения, водоснабжения и водоотведения</t>
  </si>
  <si>
    <t>Предоставление субсидии в целях возмещения недополученных доходов (возмещения затрат) в связи с оказанием услуг по водоснабжению</t>
  </si>
  <si>
    <t>Подпрограмма 2: Содействие проведению капитального ремонта многоквартирных домов</t>
  </si>
  <si>
    <t>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</t>
  </si>
  <si>
    <t>Подпрограмма 3: 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</t>
  </si>
  <si>
    <t xml:space="preserve">Предоставление субсидий на реализацию полномочий в сфере жилищно-коммунального комплекса </t>
  </si>
  <si>
    <t>Подпрограмма 4.  Повышение энергоэффективности в отраслях экономики</t>
  </si>
  <si>
    <t>Энергосбережение и повышение энергетической эффективности</t>
  </si>
  <si>
    <t>Подпрограмма 5. Содержание объектов внешнего благоустройства  города Покачи</t>
  </si>
  <si>
    <t xml:space="preserve">Потребление электроэнергии наружного освещение с учетом вновь вводимых объектов    </t>
  </si>
  <si>
    <t xml:space="preserve">Техническое обслуживание электрооборудования наружного освещения с учетом вновь вводимых объектов                                                                                                            </t>
  </si>
  <si>
    <t xml:space="preserve">Вывоз и утилизация ртутьсодержащих отходов </t>
  </si>
  <si>
    <t>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</t>
  </si>
  <si>
    <t>на изготовление информационных памяток,буклетов по вопросам защиты прав потребителей</t>
  </si>
  <si>
    <t>курсы, командировки, приобретение светодиодных ламп, замена противопожарной двери, лицензионные программы, разработка и сопровождение сайта, госпошлина, стулья, видеонаблюдение, бумага, картриджи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</si>
  <si>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</si>
  <si>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</si>
  <si>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функционирования и развития систем видеонаблюдения в сфере общественного порядка 
</t>
  </si>
  <si>
    <t>Обеспечение мероприятий по обеспечению безопасности на водных объектах</t>
  </si>
  <si>
    <t xml:space="preserve">
Медицинское обеспечение дежурства бригады скорой помощи</t>
  </si>
  <si>
    <t xml:space="preserve">Расходы на реализацию  мероприятий по созданию общественных постов в местах отдыха людей на водных объектах </t>
  </si>
  <si>
    <t>Приобретение  стендов, информационных досок, раздаточного материала (стенды)</t>
  </si>
  <si>
    <t xml:space="preserve">Обеспечение мероприятий по ликвидации чрезвычайных ситуаций и минимизации их последствий </t>
  </si>
  <si>
    <t>Приобретение инвентаря для предупреждения чрезвычайных ситуаций ППРФ от 10.11.1996 № 1340, от 27.04.2000 № 379, ПАГ от 29.08.2018 № 847</t>
  </si>
  <si>
    <t>Обучение персонала Курсов по специальности «преподаватель»</t>
  </si>
  <si>
    <t xml:space="preserve">Изготовление стендов, информационных досок, раздаточного материала (информационные доски) для обучения и информирования населения в области гражданской обороны и  оснащения учебного класса ГО </t>
  </si>
  <si>
    <t xml:space="preserve">Создание условий для деятельности субъектов профилактики наркомании
</t>
  </si>
  <si>
    <t xml:space="preserve"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общественности; 1.Создание антинаркотических 5 фильмов и 5 роликов.
2.Изготовление информационного стенда «Здоровый я-здоровая семья»
</t>
  </si>
  <si>
    <t>Оснащение мест проживания малообеспеченных, социально-неадаптированных и маломобильных групп населения автономными пожарными извещателями с GSM- модулем</t>
  </si>
  <si>
    <t xml:space="preserve">Содержание  автономных пожарных извещателей с GSM- модулем», </t>
  </si>
  <si>
    <t>Приобретение  стендов, информационных досок, раздаточного материала (стенды)» для обучения и информирования населения в области обеспечения  пожарной безопасности в лесной зоне на территории муниципального образования город Покачи</t>
  </si>
  <si>
    <t>Оснащение и обучение патрульных, патрульно-маневренных, патрульно-контрольных, контрольных групп</t>
  </si>
  <si>
    <t xml:space="preserve">Обеспечение подготовки и участия в окружных  соревнованиях среди отрядов юных инспекторов движения "Безопасное колесо" </t>
  </si>
  <si>
    <t>сопровождение компьютерных программ (программное обеспечение системы ФВФ)</t>
  </si>
  <si>
    <t>Проведение ТО, поверка системы фотовидеофиксации нарушений ПДД ("КРИС-С")</t>
  </si>
  <si>
    <t>Электроснабжение объектов городской системы фотовидеофиксации</t>
  </si>
  <si>
    <t>Обеспечение и организация деятельности Муниципального казенного учреждения "Единая дежурно-диспетчерская служба" города Покачи
 , ВСЕГО</t>
  </si>
  <si>
    <t>Услуги местной (абонентской) связи</t>
  </si>
  <si>
    <t>Услуги междугородней связи</t>
  </si>
  <si>
    <t>Услуги сотовой связи</t>
  </si>
  <si>
    <t>Услуги Интернет</t>
  </si>
  <si>
    <t>прочие услуги связи</t>
  </si>
  <si>
    <t>Услуги по предоставлению специализированной гидрометеорологической информации и информационной продукции</t>
  </si>
  <si>
    <t>Приобретение лицензионных компьютерных программ и баз данных</t>
  </si>
  <si>
    <t>Оборудование(КВ-радиостанции)</t>
  </si>
  <si>
    <t xml:space="preserve"> мебель (кресла, тумба под ТВ, диван, стол, кресло массаж., стеллаж для книг, гардеробные пеналы)</t>
  </si>
  <si>
    <t>малоценная мебель, инвентарь, инструменты (огнетушитель и крепления, кулер для воды, музыкальный центр, телевизор)</t>
  </si>
  <si>
    <t xml:space="preserve">запасные части к оргтехнике </t>
  </si>
  <si>
    <t>Обеспечение мероприятий по обслуживанию и модернизации системы оповещения населения города Покачи об опасностях  ТАСЦО (договора на приобретение, поставку товара и оборудования, оказания услуг, выполнению работ)</t>
  </si>
  <si>
    <t>Оказание услуг по разработке документации на монтаж и установку оборудования (точки звукового оповещения в рабочем посёлке Старые Покачи)</t>
  </si>
  <si>
    <t>Монтаж и установка оборудования (точки звукового оповещения в рабочем посёлке Старые Покачи)</t>
  </si>
  <si>
    <t>Оборудование (резервные комплектующие части ТАСЦО)</t>
  </si>
  <si>
    <t xml:space="preserve">Обеспечение мероприятий по содержанию и модернизации Системы-112 (доукомплектации) </t>
  </si>
  <si>
    <t>Обеспечение мероприятий по содержанию и модернизации (доукомплектации) систем городского видеонаблюдения</t>
  </si>
  <si>
    <t>Техническое обслуживание Системы городского видеонаблюдения</t>
  </si>
  <si>
    <t xml:space="preserve">
Создание условий для деятельности народных дружин.
</t>
  </si>
  <si>
    <t>Субвенции на осуществление деятельности по опеке и попечительству</t>
  </si>
  <si>
    <t>Разработка XML-документов, содержащих сведения о территориальных зонах города Покачи</t>
  </si>
  <si>
    <t xml:space="preserve">Наименование основного мероприятия
(лишние строки исключать, при необходимости дополнительных - вставить)
</t>
  </si>
  <si>
    <t xml:space="preserve">Благоустройство общественных территорий города Покачи </t>
  </si>
  <si>
    <t xml:space="preserve">Благоустройство дворовых территорий города Покачи </t>
  </si>
  <si>
    <t>Субсидия для реализации полномочий в области жилищного строительства</t>
  </si>
  <si>
    <t>Основное мероприятие "Стимулирование жилищного строительства (разработка проектов планировки и проектов межевания территорий города Покачи)"</t>
  </si>
  <si>
    <t>Муниципальная программа "Информирование населения о деятельности органов местного самоуправления, поддержка лиц, внесших выдающийся вклад в развитие города Покачи на 2019-2022 годы"</t>
  </si>
  <si>
    <t xml:space="preserve">Ремонт дворовых проездов                                                                           ( ул.Таежная д.10 ул.Молодежная д15, ул.Молодежная,9) </t>
  </si>
  <si>
    <t>Осуществление предупредительных мер по сокращению производственного травматизма</t>
  </si>
  <si>
    <t>Поддержка занятости населения</t>
  </si>
  <si>
    <t>Содействие развитию исторических и иных местных традиций</t>
  </si>
  <si>
    <t>Награды, премии, почетные грамотыпо итогам конкурса</t>
  </si>
  <si>
    <t>Оплата потребления тепловой энергии
Оплата потребления электрической энергии
Оплата горячего водоснабжения
- компонент на холодную воду
-компонент тепловую энергию
Оплата холодного водоснабжения
Оплата водоотведения
Обращение с твердыми коммунальными отходами</t>
  </si>
  <si>
    <t xml:space="preserve">Содержание, обслуживание городского кладбища </t>
  </si>
  <si>
    <t>Расходы на содержание казенного учреждения (УКС), ВСЕГО</t>
  </si>
  <si>
    <t>75 годовщина Победы в Великой Отечественной Войне  (атрибуты)</t>
  </si>
  <si>
    <t>Для проведения мероприятий по инициативе молодежи ("Интеллектуальный марафон", "Вечеринка в стиле Sensation", "Зимние забавы"</t>
  </si>
  <si>
    <t>Расходы на реализацию программных мероприятий (комплектование книжного фонда, проведение культурно-массовых мероприятий, подписка на периодические издания, приобретение программного обеспечения, оргтехники, обновление компьютерного парка)</t>
  </si>
  <si>
    <t>Расходы на реализацию программных мероприятий (комплектование музейных фондов, организация и  проведение выставок-ярмарок, экспозиций, экскурсий, методических, досуговых, научно-познавательных и иных мероприятий, информационное и рекламное сопровождение проводимых мероприятий)</t>
  </si>
  <si>
    <t>Расходы на реализацию программных мероприятий (проведение мероприятий "Юные таланты города Покачи" и "Одаренные дети", новогодних утренников, участие в муниципальных, окружных, всероссийских, международных смотрах, конкурсах, фестивалях)</t>
  </si>
  <si>
    <t>Расходы на реализацию программных мероприятий (проведение культурно-массовых мероприятий, 9 Мая, День города и др., участие в конкурсах и фестивалях различных уровней, аренда сценического комплекса со сценическим оборудованием, информационное и рекламное сопровождение проводимых мероприятий)</t>
  </si>
  <si>
    <t>Программные мероприятия подпрограммы "Развитие туризма"</t>
  </si>
  <si>
    <t>Расходы на проведение мероприятий, приобретение материалов, оборудования, связанных с развитием туризма</t>
  </si>
  <si>
    <t>Программные мероприятия подпрограммы "Сохранение, возрождение и развитие народных художественных промыслов и ремесел"</t>
  </si>
  <si>
    <t>Участие в федеральных и региональных выставках и ярмарках, проведение тематических выставок-ярмарок народных художественных промыслов</t>
  </si>
  <si>
    <t>1)Оргтехника и комплектующие; 2) Нотариальные услуги; 3)Сборы, госпошлины; 4) Налог на имущество; 5) Курсы повышения квалификации; 6) Канцтовары; 7) Заправка картриджей; 8)Приобретение лицензионных программ</t>
  </si>
  <si>
    <t>1)Услуги связи, почтовые расходы; 2) Компенсация за наем (поднаем) жилых помещений</t>
  </si>
  <si>
    <t>Содержание объектов светофорного регулирования на 7 светофоров 1 081 927,40 руб.
Стоимость работ по содержанию городских дорог составляет 34 426 314,54 руб. Недостаточность финансирования мероприятий по содержанию автомобильных дорог местного значения и содержанию внутриквартальных дорог на территории муниципального образования город Покачи приведет к нарушению ГОСТ Р 50597-2017 "Национальный стандарт Российской Федерации. Дороги автомобильные и улицы. Требования к эксплуатационному состоянию, допустимому по условиям обеспечения безопасности дорожного движения. Методы контроля"</t>
  </si>
  <si>
    <t>1. приобретение специализированного оборудования (квадрокоптер, 2 фотоловушки) - 139 890,00 руб.;
1. заключение договора с региональным оператором на оказание услуги по обращению с ТКО -  407 227,96 руб.;                                                                                                      2. Оказание услуг по предлоставлению спец. транспорта - 261 240,18 руб.</t>
  </si>
  <si>
    <t>Субсидия на выполнение муниципального задания по сфере: (АУ МАУ "МФЦ"), ВСЕГО</t>
  </si>
  <si>
    <t>питание</t>
  </si>
  <si>
    <t xml:space="preserve">питание   </t>
  </si>
  <si>
    <t>ДОУ - 10 364 947,01; СОШ - 32 241 188, из них:                        - Мероприятия капитального характера - 1 467 003,65;Укрепление пожарной безопасности - 2 366 027,20; Укрепление санитарно-гигиенической безопасности (в том числе устранение предписаний надзорных органов - 29 605 893,68; Повышение энергоэффективности здания - 16 538 565,32; мероприятия по созданию "Центра образования цифрового и гуманитарного профилей "Точка роста" в рамках национального проекта "Образование" - 2 663 745,16</t>
  </si>
  <si>
    <t>133.00.00 расходы по содержанию имущества</t>
  </si>
  <si>
    <t>131.00.00 услуги связи 
171.00.00 Командировки и служебные разъезды 
172.00.00 Курсы повышения квалификации, семинары и иное обучение специалистов 
173.00.00 Расходы на обязательные медосмотры отдельных категорий работников 
135.00.00 Услуги по содержанию оргтехники
136.02.00 Тех.обслуживание оборудования
175.03.00 Различного рода платежи, сборы, государственные пошлины, лицензии
178.39.00 Расходы, связанные с проведением оценки имущества 
152.00.00  Продукты питания
155.00.00 Прочие расходные материалы и предметы снабжения</t>
  </si>
  <si>
    <t>Прочие расходы, в т.ч. расходы на питание- 13 089 024,0; налог МАОУ СОШ №4 - 13 499 960,0</t>
  </si>
  <si>
    <t>Оплата суточных в командировках; Услуги местной (абонентской) связи; Услуги междугородней связи; Услуги сотовой связи; Услуги "Интернет"; Услуги почтовой связи (конверты марк.); Прочие услуги связи; Заправка картриджей; Техосмотры, техобслуживание и ремонт автотранспорта; Комплексное обслуживание системы спутникового и тахографического контроля; Прочие расходы по охране (охрана здания администрации города Покачи); Приобретение лицензионных программ и баз данных ЭВМ; Приобретение аптечек для оснащения автомобилей; Оплата проживания в командировках; Оплата курсов повышения квалификации; Расходы на обязательные медосмотры отдельных категорий работников; Проведение специальной оценки условий труда; Дооборудование системы видеонаблюдения Администрации ; Обязательное страхование гражданской ответственности владельцев транспортных средств; Прочие налоги и сборы (транспортный); Налог на имущество организаций; Различного рода платежи, сборы, государственные пошлины, лицензии; Прочие транспортные расходы (приобретение огнетушителей для автомобиля); Запчасти к автотранспорту (авторезина); Канцелярские принадлежности; Транспортные средства; Малоценная мебель, инвентарь, инструменты и т.п.; Запасные части к оргтехнике; Прочие расходные материалы; Хозяйственные товары, инвентарь и инструменты; Оргтехника и комплектующие; Бланки, печати, штампы; Хозяйственные товары; Чистящие и моющие средства; Горючие материалы (бензин, мазут и т.п.) всего:; Смазочные материалы (масло, тосол, автол и т.п.); Оборудование (приобретение и установка сплит системы в здании администрации.; Мебель.</t>
  </si>
  <si>
    <t xml:space="preserve">Расходы на содержание помещений, домовладения
Зимнее содержание дорог
Тех. обслуживание электрооборудования
Тех. обслуживание сантехоборудования
Тех. обслуживание наружных инженерных сетей
Техобслуживание узлов учета тепла  ГВС, ХВС
Дератизация и дезинсекция
Расходы по оплате договоров на пожарную сигнализацию 
Чистка кровли от снега и наледи
Поверка приборов учета
Утилизация ртутных ламп
Испытание пожарных кранов с рукавами
Ремонт пола, ремонт кровли                                                   
 Расходы по оплате договоров на охрану посредством КТС Расходы по оплате договоров на охрану посредством ПЦН 
</t>
  </si>
  <si>
    <t>Потребность Думы города Покачи по данным РРО 125 000,00; потребность УпоКиД по данным РРО 130 000,00. Итого 255 000,00</t>
  </si>
  <si>
    <t>Потребность заявлена  на 3 человека 431 поездка за год</t>
  </si>
  <si>
    <t xml:space="preserve">Муниципальная программа "Развитие жилищной сферы в городе Покачи" </t>
  </si>
  <si>
    <t xml:space="preserve">Размер платы концедента, в связи с оказанием услуг водоотведения ООО "Экосистема"  в 2020 году составляет 14 660 720,00 руб. (1 кв.-3 547 790,00 руб., 2 кв.- 3 851 820,00 руб., 3 кв.-3 982 470,00 руб., 4 кв. - 3 278 640,00 руб.). Недостающая сумма составляет -7 261 110,00 руб. </t>
  </si>
  <si>
    <t xml:space="preserve">Возмещения недополученных доходов (возмещения затрат) в связи с оказанием услуг по водоснабжению ресурсоснабжающей организации ООО "Аквалидер" в 2020 году составляет 6 006 839,83 руб. (4 кв.2019-946 652,6 руб.,1кв.-1 004 641,9 руб.,2 кв.-1 677 496,4 руб., 3 кв.-2 408 049,00 руб.). Недостающая сумма составляет -5 090 187,23 руб. </t>
  </si>
  <si>
    <t>Оборудование (резервный сервер -2 413 002,00, резервные системные блоки и мониторы - 182 330,00)</t>
  </si>
  <si>
    <t>Услуги по организации и  обеспечению каналов связи IP VPN (285 120,00 руб.)(И ДЛЯ РЕЗЕРВНОГО КАНАЛА между городами Покачи и Лангепас 214 392,00)</t>
  </si>
  <si>
    <t xml:space="preserve">Содержание детских игорвых и спортивных площадок </t>
  </si>
  <si>
    <t>Страхование членов народной дружины</t>
  </si>
  <si>
    <t>Материальное стимулирование членов народной дружины</t>
  </si>
  <si>
    <t>2019 год</t>
  </si>
  <si>
    <t>уточненный план на 2019 год
(по данным на 01.10.2019)</t>
  </si>
  <si>
    <t>кассовое исполнение по состоянию на 01.10.2019</t>
  </si>
  <si>
    <t>средства федерального бюджета и бюджета автономного округа, руб.</t>
  </si>
  <si>
    <t>в размере предельного объема, доведенного комитетом финансов (без учета расходов на гарантии и компенсации и на содержание ОМС )</t>
  </si>
  <si>
    <t>Всего доведено на 2020 год</t>
  </si>
  <si>
    <t>2020 год, в том числе</t>
  </si>
  <si>
    <t>из них:</t>
  </si>
  <si>
    <t>всего средства местного бюджета</t>
  </si>
  <si>
    <t>Инициативное бюджетирование</t>
  </si>
  <si>
    <t>Капитальный ремонт жилых помещений по адресу ул.Ленина 16/1</t>
  </si>
  <si>
    <t>Капитальный ремонт жилых помещений по адресу ул. Молодежная 8/17</t>
  </si>
  <si>
    <t>Ремонт (капитальный ремонт) жилых помещений по адресу ул. Таежная 10/17</t>
  </si>
  <si>
    <t>Премии главы города Покачи учащимся, проявившим выдающиеся способности в интеллектуальных, культурных и спортивных мероприятиях</t>
  </si>
  <si>
    <t>Расходы на организацию и проведение городского фестиваля молодых семей</t>
  </si>
  <si>
    <t>Средства местного бюджета, руб.</t>
  </si>
  <si>
    <t>Ремонт двровых проездов</t>
  </si>
  <si>
    <t>Строительство снежного городка</t>
  </si>
  <si>
    <t>питание, 1 кв. налог (3 374 990,0*4кв=13499960,00)</t>
  </si>
  <si>
    <t>Индексация расходовна 3,8% и увеличение МРОТ (без учета ОМС)</t>
  </si>
  <si>
    <t xml:space="preserve">2.1. Содействие этнокультурному многообразию народов России: проведение фестиваля национальных культур </t>
  </si>
  <si>
    <t>2.2. Проведение мероприятий по формированию общероссийской гражданской идентичности, приуроченных к празднованию государственных праздников</t>
  </si>
  <si>
    <t xml:space="preserve"> -Оформление выставки, приуроченных к празднованию государственных праздников приобретнение стенда МАОУ СОШ №2 на сумму 8 400 руб.(согласно смете), 
 -МАОУ СОШ 4 приобретнеие 3 информационных табло согласно счету на сумму 25 000 руб.
 -МАДОУ ДСКВ "Солнышко" пластиковое информационное табло на сумму 4 760 руб.
 -МАДОУ ЦРР стенд с карманами для родителей - 5 500 руб.
Проведение учреждением культуры и спорта акции молодежных инициатив: "Неделя дружбы" - 10 000,00 руб.</t>
  </si>
  <si>
    <t>2.5.Выпуск тематических рубрик и информационных материалов в том числе печатных средствах массовой информации, посвященных истории, культуре и традициям народов, современной жизни национальных общин, в том числе публикаций для детей…</t>
  </si>
  <si>
    <t xml:space="preserve">Создание и трансляция специализированных рубрик и тематических передач в программах местных телерадиокомпаний, посвященных, этнокультурным проблема. Предварительная стоимость услуги раздела закупок электронного аукциона (прилагается).
</t>
  </si>
  <si>
    <t>2.6. Реализация мероприятий, направленных на воспитание толерантности, профилактика экстремистской деятельности, гармонизация межэтнических, межконфессиональных и межкультурных отношений</t>
  </si>
  <si>
    <t xml:space="preserve"> -Пошив костюмов для участия в ежегодном Форуме национального единства, организация транспорта для участия делегации от муниципального образования в г.Ханты-Мансийск - 190 000 р.
 -Проведение музыкально-спортивного мероприятия "Дружат дети всей семьи" в МАДОУ ДСКВ "Рябинушка"(приобретение русских народных костюмов для детей) - 20 000 р., 
 -Приобретение бейсболок 10*152 руб, футболок-400*10, с логотипом "Мы ВМЕСТЕ" для проведения учреждениями культуры общегородских мероприятий (5 520 руб)
 -Грант НКО на проведение молодежного форума в сфере укрепления гражданского единст ва и профилактики экстремизма - 20 000 руб.</t>
  </si>
  <si>
    <t>2.8. Содействие поддержке русского языка как государственного языка РФ и го популяризации как средства межнационального общения, а также обеспечеие оптимальных условий для сохраненияи развития языков народов РФ</t>
  </si>
  <si>
    <t xml:space="preserve"> -Раздаточный материал и памятные призы на проведение этнографического диктанта в учреждениях культуры - 5 000 р.,
 -Тотальный диктант - 5 000 руб.
 -Проведение тематического досуга "Славянский базар" в МАУДО ДСКВ "Рябинушка": дидактическая игра "Славянская семья: родство и занятия" по 150 руб 2 ед., приобретение куклы Василина 700 руб. (1 ед).
Итого 1 000 руб.
 -Поддержка клуба славянской культуры при Доме культуры-20 000 руб.</t>
  </si>
  <si>
    <t>2.9.Организация работы по созданию и прокату видеороликов социальной рекламы, формирующей уважительное отношение, в том числе мигрантов к культуре и традициям, а также популяризация легального труда мигрантов</t>
  </si>
  <si>
    <t xml:space="preserve"> -Проведение конкурса (видеоролик, плакат) направленного на укрепление общероссийского гражданского единства и профилактику экстремизма в МАОУСОШ 2 - грамоты за первые 3 места по 85 руб- 255 руб, рамки - 750 руб.(3 ед.) 
Итого 1 005,00 руб.
 -Конкурс рисунков "Мы говорим на разных языках, но мы россияне". Приобретение дипломов, издание полиграфической продукции (календари, магниты, вымпелы)  на сумму 30 000 руб.</t>
  </si>
  <si>
    <t>2.10. Методическое обеспечение и подготовка муниципальных служащих и работников муниципальных учреждений по вопросам укрепления межнациональногои межконфессионального согласия, поддержки и развития языков и культуры народов РФ, проживающих на территории муниципального образования, обеспечения социальной и культурной адаптации мигрантов, а также этнокультурной компетентности специалистов</t>
  </si>
  <si>
    <t xml:space="preserve"> -Повышение квалификации работников МАОУСОШ 1 по вопросам укрепления межнациональногои межконфессионального согласия (АНО ДПО "Двипраз"): 
3 чел.по 2000 руб., 1 чел.*1500 руб.
Итого:7 500 руб.
 -Повышение квалификации работников МАУДО "ДШИ": 5 чел.*5 000 руб
Итого 25 000,00 руб.</t>
  </si>
  <si>
    <t xml:space="preserve"> -Приобретение МАДОУ ДСКВ "Солнышко" 12 костюмов по прайсу (грузинский(м,д),татрский,хохлома) на сумму 
87 644,00 руб.
 -Оформление выставки в МАУДО "ДШИ" "Мы митрополиты" - 15 000,00 руб.</t>
  </si>
  <si>
    <t xml:space="preserve">2.12.Проведение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 всеми законными средствами </t>
  </si>
  <si>
    <t xml:space="preserve">Проведение тематического досуга "Народы России" в д/с Рябинушка: "Все мы разные, но все равные!" :  настольная игра "Народные промыслы 200 руб (1 ед.), настольная игра "Путешествия по России" 250 руб (1 ед), демонстрационный набор "Народы России" 650 руб (за 2 ед.), Настольная игра "Большое путешествие Россия, Беларусь, Казахстан" 300 руб (1 ед.), напольный пазл "Путешествие по России" 1500 руб. за 2 ед., куклы разных национальностей 1600 руб. за 2 ед. 
Итого 4 500 рублей
 </t>
  </si>
  <si>
    <t xml:space="preserve"> -Для организации проведения учреждениями культуры города фестиваля национальных культур СОЦВЕТИЕ: включая организацию транспорта для приезжих национально-культурных общественных организаций и организацию национальных кухонь..
Итого 182 300 р.,
 -Проведение тематического досуга "Народы России" в д/с Рябинушка: комплект мини-плакатов вырубных "Костюмы народов России" 4 шт.*250 р.=1 000 р., настольная игра "Умные игры. Наша Родина " 5 *200 р.=1000, демонстрационный набор НАРОДЫ РОССИИ 4*325=1300, пазл НАРОДЫ МИРА: 4*300=1200р
Итого 4 500 руб.
</t>
  </si>
  <si>
    <t>Прочие</t>
  </si>
  <si>
    <t>Расходы за счет средств ЛУКойла (Сроительство Спортивного комплекса;  Строительство лыжной базы; Ремонт объектов соц.сферы)</t>
  </si>
  <si>
    <t>Передача услуг СОНКО: Расходы на формирование и обеспечение спортивных сборных команд в тренировочныхсборах и соревнованиях (согласно календарному плану), организация проведения муниципальных физкультурно-оздоровительных и спортивных мероприятий на территории города</t>
  </si>
  <si>
    <t>Средства федерального бюджета и бюджета автономного округа, руб./Средства ЛУКойла</t>
  </si>
  <si>
    <r>
      <t xml:space="preserve"> </t>
    </r>
    <r>
      <rPr>
        <b/>
        <u/>
        <sz val="14"/>
        <color theme="1"/>
        <rFont val="Times New Roman"/>
        <family val="1"/>
        <charset val="204"/>
      </rPr>
      <t>Непрограммные направления расходов</t>
    </r>
  </si>
  <si>
    <t>Прочие разовые мероприятия</t>
  </si>
  <si>
    <t>Расходы для возмещения затрат, связанных с оказанием образовательных услуг по реализации дополнительных общеразвивающих программ</t>
  </si>
  <si>
    <t>Приобретение и установка системы видеонаблюдения на объектах города, систем контроля пропуска, металлодетекторов, систем оповещения</t>
  </si>
  <si>
    <t xml:space="preserve"> - прочие расходы</t>
  </si>
  <si>
    <t>Ремонт (капитальный ремонт) нежилых помещений по адресу ул. Комсомольская. 17</t>
  </si>
  <si>
    <t>Приобретение и обустройство площадок для ТКО</t>
  </si>
  <si>
    <t>Техническое перевооружение опасного производственного объекта</t>
  </si>
  <si>
    <t>Мероприятия по благоустройству города</t>
  </si>
  <si>
    <t>Ремонт кабельных лотков, светильников освещения</t>
  </si>
  <si>
    <t>Ремонт освещения по ул.Югорская</t>
  </si>
  <si>
    <t>включить в бюджет</t>
  </si>
  <si>
    <t>включить в протокол как первоочередные расходы при поступлении доп.средств</t>
  </si>
  <si>
    <t>В размере предельного объема, доведенного комитетом финансов (без учета расходов на гарантии и компенсации и на содержание ОМС)</t>
  </si>
  <si>
    <t>Заработная плата</t>
  </si>
  <si>
    <r>
      <t>1) Обустройтсво, содержаниее и обслуживание объектов озеленения (клумб и цветников), санитарное содержание территории города - 774 425,46 руб.;
2) Разработка генеральной схемы санитарной очистки территории муниципального образования - 1 324 194,00 руб.;
3) Содержание мест (площадок) накопления твердых коммунальных отходов (10 шт на территории ИЖС)</t>
    </r>
    <r>
      <rPr>
        <b/>
        <i/>
        <sz val="11"/>
        <rFont val="Times New Roman"/>
        <family val="1"/>
        <charset val="204"/>
      </rPr>
      <t xml:space="preserve"> - 893 840,52 руб.</t>
    </r>
  </si>
  <si>
    <t>Организация перевозок населения города общественным транспортом</t>
  </si>
  <si>
    <t>Обеспечение условий для предоставления дополнительных гарантий и компенсаций утвержденных решением Думы города Покачи 
(ц.п.5)</t>
  </si>
  <si>
    <t>Обеспечение деятельности органов местного самоуправления города Покачи (за исключением ОМС осуществляющие отдельные переданные государственные полномочия)
(ц.п.1) (с учетом индексации 3,8%)</t>
  </si>
  <si>
    <t xml:space="preserve">Приказом Департамента финансов ХМАО - Югры от 29.07.2019 №88-о утвержден норматив формирования расходов на содержание органов местного самоуправления муниципального образования город Покачи в размере 229 734,8 тыс. руб., проектом бюджета предусмотрено 72,8% </t>
  </si>
  <si>
    <t>Средства в размере 14 008 313,57 руб. между муниципальными учреждениями</t>
  </si>
  <si>
    <t>Обеспечение первичных мер пожарной безопасности на территории муниципального образования</t>
  </si>
  <si>
    <t>Формирование законопослушного поведения участников дорожного движения</t>
  </si>
  <si>
    <t>1) Благоустройство общественной территории озеро по ул.Молодежное и территория ограниченнаяул.Молодежная ул.Солнечная ул.Таежная - 10 000 000,00 (47 000 000,00 - средства Лукойла)                                                                                      2) Обустройство площадок для выгула соба - 1 850 000,00; 3) Скейт-парк  - 9 200 000,00</t>
  </si>
  <si>
    <t xml:space="preserve">Ремонт дворовых проездов                                                                           ( ул.Комсомольская, 5,7) </t>
  </si>
  <si>
    <r>
      <rPr>
        <i/>
        <u/>
        <sz val="11"/>
        <color theme="1"/>
        <rFont val="Times New Roman"/>
        <family val="1"/>
        <charset val="204"/>
      </rPr>
      <t>Всего</t>
    </r>
    <r>
      <rPr>
        <i/>
        <sz val="11"/>
        <color theme="1"/>
        <rFont val="Times New Roman"/>
        <family val="1"/>
        <charset val="204"/>
      </rPr>
      <t xml:space="preserve"> Ремонт дворовых проездов                                                                           ( ул.Таежная д.10 ул.Молодежная д15, ул.Молодежная,9)  - 12 142 543,20</t>
    </r>
  </si>
  <si>
    <t>Ул. Комсомольская, 5- 749 600,00; ул. Комсомольская,7 - 1 674 691,00</t>
  </si>
  <si>
    <t>Приложение к протоколу №11 от 02.10.-03.10.2019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</si>
</sst>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 &quot;[$руб.-419];[Red]&quot;-&quot;#,##0.00&quot; &quot;[$руб.-419]"/>
    <numFmt numFmtId="165" formatCode="#,##0.00_ ;[Red]\-#,##0.00\ "/>
    <numFmt numFmtId="166" formatCode="#,##0_ ;[Red]\-#,##0\ 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164" fontId="0" fillId="0" borderId="0"/>
    <xf numFmtId="164" fontId="5" fillId="0" borderId="0"/>
    <xf numFmtId="164" fontId="7" fillId="0" borderId="0"/>
    <xf numFmtId="164" fontId="5" fillId="0" borderId="0"/>
    <xf numFmtId="164" fontId="8" fillId="0" borderId="0"/>
    <xf numFmtId="164" fontId="8" fillId="0" borderId="0"/>
    <xf numFmtId="164" fontId="5" fillId="0" borderId="0"/>
    <xf numFmtId="164" fontId="9" fillId="0" borderId="0"/>
    <xf numFmtId="164" fontId="8" fillId="0" borderId="0"/>
    <xf numFmtId="164" fontId="8" fillId="0" borderId="0"/>
    <xf numFmtId="164" fontId="5" fillId="0" borderId="0"/>
    <xf numFmtId="164" fontId="7" fillId="0" borderId="0"/>
    <xf numFmtId="164" fontId="7" fillId="0" borderId="0"/>
    <xf numFmtId="164" fontId="5" fillId="0" borderId="0"/>
    <xf numFmtId="164" fontId="22" fillId="0" borderId="0" applyBorder="0" applyProtection="0"/>
    <xf numFmtId="43" fontId="5" fillId="0" borderId="0" applyFont="0" applyFill="0" applyBorder="0" applyAlignment="0" applyProtection="0"/>
  </cellStyleXfs>
  <cellXfs count="338">
    <xf numFmtId="164" fontId="0" fillId="0" borderId="0" xfId="0"/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vertical="center" wrapText="1"/>
    </xf>
    <xf numFmtId="165" fontId="4" fillId="0" borderId="0" xfId="0" applyNumberFormat="1" applyFont="1" applyFill="1"/>
    <xf numFmtId="165" fontId="1" fillId="0" borderId="7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/>
    <xf numFmtId="165" fontId="2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top"/>
    </xf>
    <xf numFmtId="165" fontId="6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0" fillId="0" borderId="5" xfId="0" applyNumberFormat="1" applyFont="1" applyFill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wrapText="1"/>
    </xf>
    <xf numFmtId="165" fontId="15" fillId="0" borderId="0" xfId="0" applyNumberFormat="1" applyFont="1" applyFill="1" applyBorder="1"/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0" xfId="0" applyNumberFormat="1" applyFont="1" applyFill="1" applyBorder="1"/>
    <xf numFmtId="165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/>
    </xf>
    <xf numFmtId="165" fontId="0" fillId="0" borderId="0" xfId="0" applyNumberFormat="1" applyFont="1" applyFill="1"/>
    <xf numFmtId="165" fontId="1" fillId="3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5" fontId="4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Alignment="1"/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1" xfId="15" applyNumberFormat="1" applyFont="1" applyFill="1" applyBorder="1" applyAlignment="1">
      <alignment horizontal="center" vertical="center" wrapText="1"/>
    </xf>
    <xf numFmtId="165" fontId="2" fillId="0" borderId="1" xfId="15" applyNumberFormat="1" applyFont="1" applyFill="1" applyBorder="1" applyAlignment="1">
      <alignment horizontal="center" vertical="center"/>
    </xf>
    <xf numFmtId="165" fontId="2" fillId="0" borderId="4" xfId="15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/>
    </xf>
    <xf numFmtId="165" fontId="24" fillId="0" borderId="0" xfId="0" applyNumberFormat="1" applyFont="1" applyFill="1"/>
    <xf numFmtId="165" fontId="2" fillId="0" borderId="0" xfId="0" applyNumberFormat="1" applyFont="1" applyFill="1"/>
    <xf numFmtId="165" fontId="1" fillId="3" borderId="1" xfId="0" applyNumberFormat="1" applyFont="1" applyFill="1" applyBorder="1"/>
    <xf numFmtId="165" fontId="6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vertical="center" wrapText="1"/>
    </xf>
    <xf numFmtId="165" fontId="4" fillId="3" borderId="0" xfId="0" applyNumberFormat="1" applyFont="1" applyFill="1"/>
    <xf numFmtId="165" fontId="4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165" fontId="0" fillId="0" borderId="0" xfId="0" applyNumberFormat="1" applyFont="1"/>
    <xf numFmtId="165" fontId="19" fillId="0" borderId="1" xfId="0" applyNumberFormat="1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wrapText="1"/>
    </xf>
    <xf numFmtId="165" fontId="12" fillId="3" borderId="1" xfId="0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165" fontId="12" fillId="3" borderId="1" xfId="0" applyNumberFormat="1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left" vertical="center" wrapText="1"/>
    </xf>
    <xf numFmtId="165" fontId="16" fillId="0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/>
    <xf numFmtId="165" fontId="4" fillId="0" borderId="1" xfId="0" applyNumberFormat="1" applyFont="1" applyFill="1" applyBorder="1" applyAlignment="1">
      <alignment horizontal="left" wrapText="1"/>
    </xf>
    <xf numFmtId="165" fontId="4" fillId="3" borderId="1" xfId="0" applyNumberFormat="1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/>
    <xf numFmtId="165" fontId="1" fillId="0" borderId="6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left" wrapText="1"/>
    </xf>
    <xf numFmtId="165" fontId="19" fillId="3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165" fontId="12" fillId="0" borderId="6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top"/>
    </xf>
    <xf numFmtId="165" fontId="19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44" fillId="0" borderId="1" xfId="0" applyNumberFormat="1" applyFont="1" applyFill="1" applyBorder="1" applyAlignment="1">
      <alignment horizontal="left" vertical="top" wrapText="1"/>
    </xf>
    <xf numFmtId="165" fontId="39" fillId="0" borderId="6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5" fillId="0" borderId="1" xfId="0" applyNumberFormat="1" applyFont="1" applyFill="1" applyBorder="1" applyAlignment="1">
      <alignment wrapText="1"/>
    </xf>
    <xf numFmtId="165" fontId="25" fillId="3" borderId="1" xfId="0" applyNumberFormat="1" applyFont="1" applyFill="1" applyBorder="1" applyAlignment="1">
      <alignment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/>
    <xf numFmtId="165" fontId="12" fillId="3" borderId="1" xfId="0" applyNumberFormat="1" applyFont="1" applyFill="1" applyBorder="1" applyAlignment="1"/>
    <xf numFmtId="165" fontId="16" fillId="0" borderId="1" xfId="0" applyNumberFormat="1" applyFont="1" applyFill="1" applyBorder="1" applyAlignment="1">
      <alignment vertical="top" wrapText="1"/>
    </xf>
    <xf numFmtId="165" fontId="16" fillId="3" borderId="1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wrapText="1"/>
    </xf>
    <xf numFmtId="165" fontId="13" fillId="3" borderId="1" xfId="0" applyNumberFormat="1" applyFont="1" applyFill="1" applyBorder="1" applyAlignment="1">
      <alignment wrapText="1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vertical="top" wrapText="1"/>
    </xf>
    <xf numFmtId="165" fontId="12" fillId="3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37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165" fontId="30" fillId="0" borderId="0" xfId="0" applyNumberFormat="1" applyFont="1" applyFill="1"/>
    <xf numFmtId="165" fontId="27" fillId="0" borderId="0" xfId="0" applyNumberFormat="1" applyFont="1" applyFill="1"/>
    <xf numFmtId="165" fontId="31" fillId="0" borderId="5" xfId="0" applyNumberFormat="1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 wrapText="1"/>
    </xf>
    <xf numFmtId="165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vertical="center" wrapText="1"/>
    </xf>
    <xf numFmtId="165" fontId="26" fillId="0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165" fontId="33" fillId="0" borderId="0" xfId="0" applyNumberFormat="1" applyFont="1" applyFill="1" applyBorder="1"/>
    <xf numFmtId="165" fontId="27" fillId="0" borderId="1" xfId="0" applyNumberFormat="1" applyFont="1" applyFill="1" applyBorder="1" applyAlignment="1">
      <alignment vertical="center" wrapText="1"/>
    </xf>
    <xf numFmtId="165" fontId="26" fillId="0" borderId="1" xfId="0" applyNumberFormat="1" applyFont="1" applyBorder="1" applyAlignment="1">
      <alignment horizontal="center" vertical="center"/>
    </xf>
    <xf numFmtId="165" fontId="27" fillId="3" borderId="1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/>
    <xf numFmtId="165" fontId="19" fillId="3" borderId="1" xfId="0" applyNumberFormat="1" applyFont="1" applyFill="1" applyBorder="1" applyAlignment="1">
      <alignment vertical="center" wrapText="1"/>
    </xf>
    <xf numFmtId="165" fontId="26" fillId="0" borderId="1" xfId="0" applyNumberFormat="1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>
      <alignment horizontal="center"/>
    </xf>
    <xf numFmtId="165" fontId="19" fillId="0" borderId="1" xfId="0" applyNumberFormat="1" applyFont="1" applyFill="1" applyBorder="1"/>
    <xf numFmtId="165" fontId="19" fillId="3" borderId="1" xfId="0" applyNumberFormat="1" applyFont="1" applyFill="1" applyBorder="1"/>
    <xf numFmtId="165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Border="1" applyAlignment="1">
      <alignment horizontal="center" vertical="center"/>
    </xf>
    <xf numFmtId="165" fontId="19" fillId="3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165" fontId="27" fillId="0" borderId="1" xfId="0" applyNumberFormat="1" applyFont="1" applyFill="1" applyBorder="1" applyAlignment="1">
      <alignment wrapText="1"/>
    </xf>
    <xf numFmtId="165" fontId="27" fillId="3" borderId="1" xfId="0" applyNumberFormat="1" applyFont="1" applyFill="1" applyBorder="1" applyAlignment="1">
      <alignment wrapText="1"/>
    </xf>
    <xf numFmtId="165" fontId="19" fillId="0" borderId="1" xfId="0" applyNumberFormat="1" applyFont="1" applyBorder="1" applyAlignment="1" applyProtection="1">
      <alignment horizontal="center" vertical="center"/>
    </xf>
    <xf numFmtId="165" fontId="26" fillId="0" borderId="1" xfId="0" applyNumberFormat="1" applyFont="1" applyFill="1" applyBorder="1" applyAlignment="1">
      <alignment vertical="center"/>
    </xf>
    <xf numFmtId="165" fontId="26" fillId="3" borderId="1" xfId="0" applyNumberFormat="1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/>
    </xf>
    <xf numFmtId="165" fontId="26" fillId="0" borderId="1" xfId="0" applyNumberFormat="1" applyFont="1" applyFill="1" applyBorder="1"/>
    <xf numFmtId="165" fontId="26" fillId="3" borderId="1" xfId="0" applyNumberFormat="1" applyFont="1" applyFill="1" applyBorder="1"/>
    <xf numFmtId="165" fontId="32" fillId="0" borderId="1" xfId="0" applyNumberFormat="1" applyFont="1" applyFill="1" applyBorder="1" applyAlignment="1">
      <alignment wrapText="1"/>
    </xf>
    <xf numFmtId="165" fontId="32" fillId="3" borderId="1" xfId="0" applyNumberFormat="1" applyFont="1" applyFill="1" applyBorder="1" applyAlignment="1">
      <alignment wrapText="1"/>
    </xf>
    <xf numFmtId="165" fontId="19" fillId="0" borderId="0" xfId="0" applyNumberFormat="1" applyFont="1" applyFill="1"/>
    <xf numFmtId="165" fontId="26" fillId="3" borderId="1" xfId="0" applyNumberFormat="1" applyFont="1" applyFill="1" applyBorder="1" applyAlignment="1">
      <alignment horizontal="center"/>
    </xf>
    <xf numFmtId="165" fontId="27" fillId="0" borderId="0" xfId="0" applyNumberFormat="1" applyFont="1" applyFill="1" applyAlignment="1">
      <alignment horizontal="left"/>
    </xf>
    <xf numFmtId="165" fontId="4" fillId="3" borderId="0" xfId="0" applyNumberFormat="1" applyFont="1" applyFill="1" applyBorder="1"/>
    <xf numFmtId="165" fontId="15" fillId="3" borderId="0" xfId="0" applyNumberFormat="1" applyFont="1" applyFill="1" applyBorder="1"/>
    <xf numFmtId="165" fontId="0" fillId="3" borderId="0" xfId="0" applyNumberFormat="1" applyFont="1" applyFill="1"/>
    <xf numFmtId="165" fontId="12" fillId="3" borderId="1" xfId="0" applyNumberFormat="1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wrapText="1"/>
    </xf>
    <xf numFmtId="165" fontId="16" fillId="0" borderId="1" xfId="0" applyNumberFormat="1" applyFont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7" fillId="2" borderId="0" xfId="0" applyNumberFormat="1" applyFont="1" applyFill="1"/>
    <xf numFmtId="165" fontId="6" fillId="3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horizontal="center" vertical="center"/>
    </xf>
    <xf numFmtId="165" fontId="42" fillId="0" borderId="1" xfId="0" applyNumberFormat="1" applyFont="1" applyFill="1" applyBorder="1" applyAlignment="1">
      <alignment vertical="center" wrapText="1"/>
    </xf>
    <xf numFmtId="165" fontId="42" fillId="0" borderId="1" xfId="0" applyNumberFormat="1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wrapText="1"/>
    </xf>
    <xf numFmtId="165" fontId="42" fillId="3" borderId="1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/>
    <xf numFmtId="165" fontId="1" fillId="3" borderId="0" xfId="0" applyNumberFormat="1" applyFont="1" applyFill="1"/>
    <xf numFmtId="165" fontId="13" fillId="0" borderId="1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165" fontId="4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top" wrapText="1"/>
    </xf>
    <xf numFmtId="165" fontId="41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vertical="center" wrapText="1"/>
    </xf>
    <xf numFmtId="165" fontId="28" fillId="3" borderId="1" xfId="0" applyNumberFormat="1" applyFont="1" applyFill="1" applyBorder="1" applyAlignment="1">
      <alignment vertical="center" wrapText="1"/>
    </xf>
    <xf numFmtId="165" fontId="28" fillId="0" borderId="1" xfId="0" applyNumberFormat="1" applyFont="1" applyBorder="1" applyAlignment="1">
      <alignment horizontal="left" wrapText="1"/>
    </xf>
    <xf numFmtId="165" fontId="28" fillId="3" borderId="1" xfId="0" applyNumberFormat="1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center"/>
    </xf>
    <xf numFmtId="165" fontId="39" fillId="0" borderId="1" xfId="0" applyNumberFormat="1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165" fontId="0" fillId="3" borderId="1" xfId="0" applyNumberFormat="1" applyFont="1" applyFill="1" applyBorder="1"/>
    <xf numFmtId="165" fontId="35" fillId="0" borderId="1" xfId="0" applyNumberFormat="1" applyFont="1" applyFill="1" applyBorder="1" applyAlignment="1">
      <alignment vertical="center" wrapText="1"/>
    </xf>
    <xf numFmtId="166" fontId="1" fillId="0" borderId="0" xfId="0" applyNumberFormat="1" applyFont="1" applyFill="1"/>
    <xf numFmtId="166" fontId="10" fillId="0" borderId="5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/>
    <xf numFmtId="166" fontId="1" fillId="0" borderId="4" xfId="0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/>
    <xf numFmtId="166" fontId="13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4" fillId="0" borderId="0" xfId="0" applyNumberFormat="1" applyFont="1" applyFill="1"/>
    <xf numFmtId="166" fontId="1" fillId="3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27" fillId="0" borderId="0" xfId="0" applyNumberFormat="1" applyFont="1" applyFill="1"/>
    <xf numFmtId="166" fontId="31" fillId="0" borderId="5" xfId="0" applyNumberFormat="1" applyFont="1" applyFill="1" applyBorder="1" applyAlignment="1">
      <alignment horizontal="center" wrapText="1"/>
    </xf>
    <xf numFmtId="166" fontId="27" fillId="0" borderId="1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/>
    <xf numFmtId="166" fontId="27" fillId="0" borderId="4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27" fillId="3" borderId="1" xfId="0" applyNumberFormat="1" applyFont="1" applyFill="1" applyBorder="1" applyAlignment="1">
      <alignment horizontal="center" vertical="center" wrapText="1"/>
    </xf>
    <xf numFmtId="166" fontId="30" fillId="0" borderId="0" xfId="0" applyNumberFormat="1" applyFont="1" applyFill="1"/>
    <xf numFmtId="166" fontId="0" fillId="0" borderId="0" xfId="0" applyNumberFormat="1" applyFont="1"/>
    <xf numFmtId="166" fontId="4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/>
    <xf numFmtId="166" fontId="0" fillId="0" borderId="0" xfId="0" applyNumberFormat="1" applyFill="1"/>
    <xf numFmtId="165" fontId="6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horizontal="left" wrapText="1"/>
    </xf>
    <xf numFmtId="165" fontId="21" fillId="0" borderId="0" xfId="0" applyNumberFormat="1" applyFont="1" applyFill="1" applyBorder="1" applyAlignment="1">
      <alignment horizontal="left" wrapText="1"/>
    </xf>
    <xf numFmtId="165" fontId="12" fillId="0" borderId="2" xfId="0" applyNumberFormat="1" applyFont="1" applyFill="1" applyBorder="1" applyAlignment="1">
      <alignment horizontal="left" vertical="center" wrapText="1"/>
    </xf>
    <xf numFmtId="165" fontId="12" fillId="0" borderId="4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wrapText="1"/>
    </xf>
    <xf numFmtId="165" fontId="27" fillId="0" borderId="2" xfId="0" applyNumberFormat="1" applyFont="1" applyFill="1" applyBorder="1" applyAlignment="1">
      <alignment horizontal="center" vertical="center" wrapText="1"/>
    </xf>
    <xf numFmtId="165" fontId="27" fillId="0" borderId="4" xfId="0" applyNumberFormat="1" applyFont="1" applyFill="1" applyBorder="1" applyAlignment="1">
      <alignment horizontal="center" vertical="center" wrapText="1"/>
    </xf>
    <xf numFmtId="165" fontId="27" fillId="0" borderId="7" xfId="0" applyNumberFormat="1" applyFont="1" applyFill="1" applyBorder="1" applyAlignment="1">
      <alignment horizontal="center" wrapText="1"/>
    </xf>
    <xf numFmtId="165" fontId="27" fillId="0" borderId="8" xfId="0" applyNumberFormat="1" applyFont="1" applyFill="1" applyBorder="1" applyAlignment="1">
      <alignment horizontal="center" wrapText="1"/>
    </xf>
    <xf numFmtId="165" fontId="27" fillId="0" borderId="2" xfId="0" applyNumberFormat="1" applyFont="1" applyFill="1" applyBorder="1" applyAlignment="1">
      <alignment horizontal="center" vertical="center"/>
    </xf>
    <xf numFmtId="165" fontId="27" fillId="0" borderId="3" xfId="0" applyNumberFormat="1" applyFont="1" applyFill="1" applyBorder="1" applyAlignment="1">
      <alignment horizontal="center" vertical="center"/>
    </xf>
    <xf numFmtId="165" fontId="27" fillId="0" borderId="4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165" fontId="21" fillId="0" borderId="0" xfId="0" applyNumberFormat="1" applyFont="1" applyFill="1" applyBorder="1" applyAlignment="1">
      <alignment horizontal="left" vertical="top" wrapText="1"/>
    </xf>
    <xf numFmtId="166" fontId="27" fillId="0" borderId="1" xfId="0" applyNumberFormat="1" applyFont="1" applyFill="1" applyBorder="1" applyAlignment="1">
      <alignment horizontal="center" vertical="center"/>
    </xf>
    <xf numFmtId="165" fontId="32" fillId="0" borderId="9" xfId="0" applyNumberFormat="1" applyFont="1" applyFill="1" applyBorder="1" applyAlignment="1">
      <alignment horizontal="center" vertical="center"/>
    </xf>
    <xf numFmtId="165" fontId="32" fillId="0" borderId="11" xfId="0" applyNumberFormat="1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65" fontId="27" fillId="0" borderId="6" xfId="0" applyNumberFormat="1" applyFont="1" applyFill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</cellXfs>
  <cellStyles count="16">
    <cellStyle name="Excel Built-in Normal" xfId="14"/>
    <cellStyle name="Обычный" xfId="0" builtinId="0"/>
    <cellStyle name="Обычный 2" xfId="1"/>
    <cellStyle name="Обычный 2 2" xfId="2"/>
    <cellStyle name="Обычный 2 3" xfId="7"/>
    <cellStyle name="Обычный 2 3 2" xfId="12"/>
    <cellStyle name="Обычный 2 4" xfId="11"/>
    <cellStyle name="Обычный 3" xfId="3"/>
    <cellStyle name="Обычный 3 2" xfId="13"/>
    <cellStyle name="Обычный 4" xfId="4"/>
    <cellStyle name="Обычный 5" xfId="5"/>
    <cellStyle name="Обычный 6" xfId="6"/>
    <cellStyle name="Обычный 7" xfId="8"/>
    <cellStyle name="Обычный 7 2" xfId="9"/>
    <cellStyle name="Обычный 8" xfId="10"/>
    <cellStyle name="Финансовый" xfId="1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1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82.bin"/><Relationship Id="rId16" Type="http://schemas.openxmlformats.org/officeDocument/2006/relationships/printerSettings" Target="../printerSettings/printerSettings196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5.bin"/><Relationship Id="rId13" Type="http://schemas.openxmlformats.org/officeDocument/2006/relationships/printerSettings" Target="../printerSettings/printerSettings210.bin"/><Relationship Id="rId3" Type="http://schemas.openxmlformats.org/officeDocument/2006/relationships/printerSettings" Target="../printerSettings/printerSettings200.bin"/><Relationship Id="rId7" Type="http://schemas.openxmlformats.org/officeDocument/2006/relationships/printerSettings" Target="../printerSettings/printerSettings204.bin"/><Relationship Id="rId12" Type="http://schemas.openxmlformats.org/officeDocument/2006/relationships/printerSettings" Target="../printerSettings/printerSettings209.bin"/><Relationship Id="rId17" Type="http://schemas.openxmlformats.org/officeDocument/2006/relationships/printerSettings" Target="../printerSettings/printerSettings214.bin"/><Relationship Id="rId2" Type="http://schemas.openxmlformats.org/officeDocument/2006/relationships/printerSettings" Target="../printerSettings/printerSettings199.bin"/><Relationship Id="rId16" Type="http://schemas.openxmlformats.org/officeDocument/2006/relationships/printerSettings" Target="../printerSettings/printerSettings213.bin"/><Relationship Id="rId1" Type="http://schemas.openxmlformats.org/officeDocument/2006/relationships/printerSettings" Target="../printerSettings/printerSettings198.bin"/><Relationship Id="rId6" Type="http://schemas.openxmlformats.org/officeDocument/2006/relationships/printerSettings" Target="../printerSettings/printerSettings203.bin"/><Relationship Id="rId11" Type="http://schemas.openxmlformats.org/officeDocument/2006/relationships/printerSettings" Target="../printerSettings/printerSettings208.bin"/><Relationship Id="rId5" Type="http://schemas.openxmlformats.org/officeDocument/2006/relationships/printerSettings" Target="../printerSettings/printerSettings202.bin"/><Relationship Id="rId15" Type="http://schemas.openxmlformats.org/officeDocument/2006/relationships/printerSettings" Target="../printerSettings/printerSettings212.bin"/><Relationship Id="rId10" Type="http://schemas.openxmlformats.org/officeDocument/2006/relationships/printerSettings" Target="../printerSettings/printerSettings207.bin"/><Relationship Id="rId4" Type="http://schemas.openxmlformats.org/officeDocument/2006/relationships/printerSettings" Target="../printerSettings/printerSettings201.bin"/><Relationship Id="rId9" Type="http://schemas.openxmlformats.org/officeDocument/2006/relationships/printerSettings" Target="../printerSettings/printerSettings206.bin"/><Relationship Id="rId14" Type="http://schemas.openxmlformats.org/officeDocument/2006/relationships/printerSettings" Target="../printerSettings/printerSettings2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2.bin"/><Relationship Id="rId13" Type="http://schemas.openxmlformats.org/officeDocument/2006/relationships/printerSettings" Target="../printerSettings/printerSettings227.bin"/><Relationship Id="rId3" Type="http://schemas.openxmlformats.org/officeDocument/2006/relationships/printerSettings" Target="../printerSettings/printerSettings217.bin"/><Relationship Id="rId7" Type="http://schemas.openxmlformats.org/officeDocument/2006/relationships/printerSettings" Target="../printerSettings/printerSettings221.bin"/><Relationship Id="rId12" Type="http://schemas.openxmlformats.org/officeDocument/2006/relationships/printerSettings" Target="../printerSettings/printerSettings226.bin"/><Relationship Id="rId17" Type="http://schemas.openxmlformats.org/officeDocument/2006/relationships/printerSettings" Target="../printerSettings/printerSettings231.bin"/><Relationship Id="rId2" Type="http://schemas.openxmlformats.org/officeDocument/2006/relationships/printerSettings" Target="../printerSettings/printerSettings216.bin"/><Relationship Id="rId16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15.bin"/><Relationship Id="rId6" Type="http://schemas.openxmlformats.org/officeDocument/2006/relationships/printerSettings" Target="../printerSettings/printerSettings220.bin"/><Relationship Id="rId11" Type="http://schemas.openxmlformats.org/officeDocument/2006/relationships/printerSettings" Target="../printerSettings/printerSettings225.bin"/><Relationship Id="rId5" Type="http://schemas.openxmlformats.org/officeDocument/2006/relationships/printerSettings" Target="../printerSettings/printerSettings219.bin"/><Relationship Id="rId15" Type="http://schemas.openxmlformats.org/officeDocument/2006/relationships/printerSettings" Target="../printerSettings/printerSettings229.bin"/><Relationship Id="rId10" Type="http://schemas.openxmlformats.org/officeDocument/2006/relationships/printerSettings" Target="../printerSettings/printerSettings224.bin"/><Relationship Id="rId4" Type="http://schemas.openxmlformats.org/officeDocument/2006/relationships/printerSettings" Target="../printerSettings/printerSettings218.bin"/><Relationship Id="rId9" Type="http://schemas.openxmlformats.org/officeDocument/2006/relationships/printerSettings" Target="../printerSettings/printerSettings223.bin"/><Relationship Id="rId14" Type="http://schemas.openxmlformats.org/officeDocument/2006/relationships/printerSettings" Target="../printerSettings/printerSettings22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9.bin"/><Relationship Id="rId13" Type="http://schemas.openxmlformats.org/officeDocument/2006/relationships/printerSettings" Target="../printerSettings/printerSettings244.bin"/><Relationship Id="rId3" Type="http://schemas.openxmlformats.org/officeDocument/2006/relationships/printerSettings" Target="../printerSettings/printerSettings234.bin"/><Relationship Id="rId7" Type="http://schemas.openxmlformats.org/officeDocument/2006/relationships/printerSettings" Target="../printerSettings/printerSettings238.bin"/><Relationship Id="rId12" Type="http://schemas.openxmlformats.org/officeDocument/2006/relationships/printerSettings" Target="../printerSettings/printerSettings243.bin"/><Relationship Id="rId17" Type="http://schemas.openxmlformats.org/officeDocument/2006/relationships/printerSettings" Target="../printerSettings/printerSettings248.bin"/><Relationship Id="rId2" Type="http://schemas.openxmlformats.org/officeDocument/2006/relationships/printerSettings" Target="../printerSettings/printerSettings233.bin"/><Relationship Id="rId16" Type="http://schemas.openxmlformats.org/officeDocument/2006/relationships/printerSettings" Target="../printerSettings/printerSettings247.bin"/><Relationship Id="rId1" Type="http://schemas.openxmlformats.org/officeDocument/2006/relationships/printerSettings" Target="../printerSettings/printerSettings232.bin"/><Relationship Id="rId6" Type="http://schemas.openxmlformats.org/officeDocument/2006/relationships/printerSettings" Target="../printerSettings/printerSettings237.bin"/><Relationship Id="rId11" Type="http://schemas.openxmlformats.org/officeDocument/2006/relationships/printerSettings" Target="../printerSettings/printerSettings242.bin"/><Relationship Id="rId5" Type="http://schemas.openxmlformats.org/officeDocument/2006/relationships/printerSettings" Target="../printerSettings/printerSettings236.bin"/><Relationship Id="rId15" Type="http://schemas.openxmlformats.org/officeDocument/2006/relationships/printerSettings" Target="../printerSettings/printerSettings246.bin"/><Relationship Id="rId10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35.bin"/><Relationship Id="rId9" Type="http://schemas.openxmlformats.org/officeDocument/2006/relationships/printerSettings" Target="../printerSettings/printerSettings240.bin"/><Relationship Id="rId14" Type="http://schemas.openxmlformats.org/officeDocument/2006/relationships/printerSettings" Target="../printerSettings/printerSettings24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6.bin"/><Relationship Id="rId13" Type="http://schemas.openxmlformats.org/officeDocument/2006/relationships/printerSettings" Target="../printerSettings/printerSettings261.bin"/><Relationship Id="rId3" Type="http://schemas.openxmlformats.org/officeDocument/2006/relationships/printerSettings" Target="../printerSettings/printerSettings251.bin"/><Relationship Id="rId7" Type="http://schemas.openxmlformats.org/officeDocument/2006/relationships/printerSettings" Target="../printerSettings/printerSettings255.bin"/><Relationship Id="rId12" Type="http://schemas.openxmlformats.org/officeDocument/2006/relationships/printerSettings" Target="../printerSettings/printerSettings260.bin"/><Relationship Id="rId17" Type="http://schemas.openxmlformats.org/officeDocument/2006/relationships/printerSettings" Target="../printerSettings/printerSettings265.bin"/><Relationship Id="rId2" Type="http://schemas.openxmlformats.org/officeDocument/2006/relationships/printerSettings" Target="../printerSettings/printerSettings250.bin"/><Relationship Id="rId16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49.bin"/><Relationship Id="rId6" Type="http://schemas.openxmlformats.org/officeDocument/2006/relationships/printerSettings" Target="../printerSettings/printerSettings254.bin"/><Relationship Id="rId11" Type="http://schemas.openxmlformats.org/officeDocument/2006/relationships/printerSettings" Target="../printerSettings/printerSettings259.bin"/><Relationship Id="rId5" Type="http://schemas.openxmlformats.org/officeDocument/2006/relationships/printerSettings" Target="../printerSettings/printerSettings253.bin"/><Relationship Id="rId15" Type="http://schemas.openxmlformats.org/officeDocument/2006/relationships/printerSettings" Target="../printerSettings/printerSettings263.bin"/><Relationship Id="rId10" Type="http://schemas.openxmlformats.org/officeDocument/2006/relationships/printerSettings" Target="../printerSettings/printerSettings258.bin"/><Relationship Id="rId4" Type="http://schemas.openxmlformats.org/officeDocument/2006/relationships/printerSettings" Target="../printerSettings/printerSettings252.bin"/><Relationship Id="rId9" Type="http://schemas.openxmlformats.org/officeDocument/2006/relationships/printerSettings" Target="../printerSettings/printerSettings257.bin"/><Relationship Id="rId14" Type="http://schemas.openxmlformats.org/officeDocument/2006/relationships/printerSettings" Target="../printerSettings/printerSettings26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3.bin"/><Relationship Id="rId13" Type="http://schemas.openxmlformats.org/officeDocument/2006/relationships/printerSettings" Target="../printerSettings/printerSettings278.bin"/><Relationship Id="rId3" Type="http://schemas.openxmlformats.org/officeDocument/2006/relationships/printerSettings" Target="../printerSettings/printerSettings268.bin"/><Relationship Id="rId7" Type="http://schemas.openxmlformats.org/officeDocument/2006/relationships/printerSettings" Target="../printerSettings/printerSettings272.bin"/><Relationship Id="rId12" Type="http://schemas.openxmlformats.org/officeDocument/2006/relationships/printerSettings" Target="../printerSettings/printerSettings277.bin"/><Relationship Id="rId17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67.bin"/><Relationship Id="rId16" Type="http://schemas.openxmlformats.org/officeDocument/2006/relationships/printerSettings" Target="../printerSettings/printerSettings281.bin"/><Relationship Id="rId1" Type="http://schemas.openxmlformats.org/officeDocument/2006/relationships/printerSettings" Target="../printerSettings/printerSettings266.bin"/><Relationship Id="rId6" Type="http://schemas.openxmlformats.org/officeDocument/2006/relationships/printerSettings" Target="../printerSettings/printerSettings271.bin"/><Relationship Id="rId11" Type="http://schemas.openxmlformats.org/officeDocument/2006/relationships/printerSettings" Target="../printerSettings/printerSettings276.bin"/><Relationship Id="rId5" Type="http://schemas.openxmlformats.org/officeDocument/2006/relationships/printerSettings" Target="../printerSettings/printerSettings270.bin"/><Relationship Id="rId15" Type="http://schemas.openxmlformats.org/officeDocument/2006/relationships/printerSettings" Target="../printerSettings/printerSettings280.bin"/><Relationship Id="rId10" Type="http://schemas.openxmlformats.org/officeDocument/2006/relationships/printerSettings" Target="../printerSettings/printerSettings275.bin"/><Relationship Id="rId4" Type="http://schemas.openxmlformats.org/officeDocument/2006/relationships/printerSettings" Target="../printerSettings/printerSettings269.bin"/><Relationship Id="rId9" Type="http://schemas.openxmlformats.org/officeDocument/2006/relationships/printerSettings" Target="../printerSettings/printerSettings274.bin"/><Relationship Id="rId14" Type="http://schemas.openxmlformats.org/officeDocument/2006/relationships/printerSettings" Target="../printerSettings/printerSettings27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0.bin"/><Relationship Id="rId13" Type="http://schemas.openxmlformats.org/officeDocument/2006/relationships/printerSettings" Target="../printerSettings/printerSettings295.bin"/><Relationship Id="rId3" Type="http://schemas.openxmlformats.org/officeDocument/2006/relationships/printerSettings" Target="../printerSettings/printerSettings285.bin"/><Relationship Id="rId7" Type="http://schemas.openxmlformats.org/officeDocument/2006/relationships/printerSettings" Target="../printerSettings/printerSettings289.bin"/><Relationship Id="rId12" Type="http://schemas.openxmlformats.org/officeDocument/2006/relationships/printerSettings" Target="../printerSettings/printerSettings294.bin"/><Relationship Id="rId17" Type="http://schemas.openxmlformats.org/officeDocument/2006/relationships/printerSettings" Target="../printerSettings/printerSettings299.bin"/><Relationship Id="rId2" Type="http://schemas.openxmlformats.org/officeDocument/2006/relationships/printerSettings" Target="../printerSettings/printerSettings284.bin"/><Relationship Id="rId16" Type="http://schemas.openxmlformats.org/officeDocument/2006/relationships/printerSettings" Target="../printerSettings/printerSettings298.bin"/><Relationship Id="rId1" Type="http://schemas.openxmlformats.org/officeDocument/2006/relationships/printerSettings" Target="../printerSettings/printerSettings283.bin"/><Relationship Id="rId6" Type="http://schemas.openxmlformats.org/officeDocument/2006/relationships/printerSettings" Target="../printerSettings/printerSettings288.bin"/><Relationship Id="rId11" Type="http://schemas.openxmlformats.org/officeDocument/2006/relationships/printerSettings" Target="../printerSettings/printerSettings293.bin"/><Relationship Id="rId5" Type="http://schemas.openxmlformats.org/officeDocument/2006/relationships/printerSettings" Target="../printerSettings/printerSettings287.bin"/><Relationship Id="rId15" Type="http://schemas.openxmlformats.org/officeDocument/2006/relationships/printerSettings" Target="../printerSettings/printerSettings297.bin"/><Relationship Id="rId10" Type="http://schemas.openxmlformats.org/officeDocument/2006/relationships/printerSettings" Target="../printerSettings/printerSettings292.bin"/><Relationship Id="rId4" Type="http://schemas.openxmlformats.org/officeDocument/2006/relationships/printerSettings" Target="../printerSettings/printerSettings286.bin"/><Relationship Id="rId9" Type="http://schemas.openxmlformats.org/officeDocument/2006/relationships/printerSettings" Target="../printerSettings/printerSettings291.bin"/><Relationship Id="rId14" Type="http://schemas.openxmlformats.org/officeDocument/2006/relationships/printerSettings" Target="../printerSettings/printerSettings29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7.bin"/><Relationship Id="rId13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302.bin"/><Relationship Id="rId7" Type="http://schemas.openxmlformats.org/officeDocument/2006/relationships/printerSettings" Target="../printerSettings/printerSettings306.bin"/><Relationship Id="rId12" Type="http://schemas.openxmlformats.org/officeDocument/2006/relationships/printerSettings" Target="../printerSettings/printerSettings311.bin"/><Relationship Id="rId17" Type="http://schemas.openxmlformats.org/officeDocument/2006/relationships/printerSettings" Target="../printerSettings/printerSettings316.bin"/><Relationship Id="rId2" Type="http://schemas.openxmlformats.org/officeDocument/2006/relationships/printerSettings" Target="../printerSettings/printerSettings301.bin"/><Relationship Id="rId16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300.bin"/><Relationship Id="rId6" Type="http://schemas.openxmlformats.org/officeDocument/2006/relationships/printerSettings" Target="../printerSettings/printerSettings305.bin"/><Relationship Id="rId11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304.bin"/><Relationship Id="rId15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309.bin"/><Relationship Id="rId4" Type="http://schemas.openxmlformats.org/officeDocument/2006/relationships/printerSettings" Target="../printerSettings/printerSettings303.bin"/><Relationship Id="rId9" Type="http://schemas.openxmlformats.org/officeDocument/2006/relationships/printerSettings" Target="../printerSettings/printerSettings308.bin"/><Relationship Id="rId14" Type="http://schemas.openxmlformats.org/officeDocument/2006/relationships/printerSettings" Target="../printerSettings/printerSettings313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4.bin"/><Relationship Id="rId13" Type="http://schemas.openxmlformats.org/officeDocument/2006/relationships/printerSettings" Target="../printerSettings/printerSettings329.bin"/><Relationship Id="rId3" Type="http://schemas.openxmlformats.org/officeDocument/2006/relationships/printerSettings" Target="../printerSettings/printerSettings319.bin"/><Relationship Id="rId7" Type="http://schemas.openxmlformats.org/officeDocument/2006/relationships/printerSettings" Target="../printerSettings/printerSettings323.bin"/><Relationship Id="rId12" Type="http://schemas.openxmlformats.org/officeDocument/2006/relationships/printerSettings" Target="../printerSettings/printerSettings328.bin"/><Relationship Id="rId17" Type="http://schemas.openxmlformats.org/officeDocument/2006/relationships/printerSettings" Target="../printerSettings/printerSettings333.bin"/><Relationship Id="rId2" Type="http://schemas.openxmlformats.org/officeDocument/2006/relationships/printerSettings" Target="../printerSettings/printerSettings318.bin"/><Relationship Id="rId16" Type="http://schemas.openxmlformats.org/officeDocument/2006/relationships/printerSettings" Target="../printerSettings/printerSettings332.bin"/><Relationship Id="rId1" Type="http://schemas.openxmlformats.org/officeDocument/2006/relationships/printerSettings" Target="../printerSettings/printerSettings317.bin"/><Relationship Id="rId6" Type="http://schemas.openxmlformats.org/officeDocument/2006/relationships/printerSettings" Target="../printerSettings/printerSettings322.bin"/><Relationship Id="rId11" Type="http://schemas.openxmlformats.org/officeDocument/2006/relationships/printerSettings" Target="../printerSettings/printerSettings327.bin"/><Relationship Id="rId5" Type="http://schemas.openxmlformats.org/officeDocument/2006/relationships/printerSettings" Target="../printerSettings/printerSettings321.bin"/><Relationship Id="rId15" Type="http://schemas.openxmlformats.org/officeDocument/2006/relationships/printerSettings" Target="../printerSettings/printerSettings331.bin"/><Relationship Id="rId10" Type="http://schemas.openxmlformats.org/officeDocument/2006/relationships/printerSettings" Target="../printerSettings/printerSettings326.bin"/><Relationship Id="rId4" Type="http://schemas.openxmlformats.org/officeDocument/2006/relationships/printerSettings" Target="../printerSettings/printerSettings320.bin"/><Relationship Id="rId9" Type="http://schemas.openxmlformats.org/officeDocument/2006/relationships/printerSettings" Target="../printerSettings/printerSettings325.bin"/><Relationship Id="rId14" Type="http://schemas.openxmlformats.org/officeDocument/2006/relationships/printerSettings" Target="../printerSettings/printerSettings330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1.bin"/><Relationship Id="rId13" Type="http://schemas.openxmlformats.org/officeDocument/2006/relationships/printerSettings" Target="../printerSettings/printerSettings346.bin"/><Relationship Id="rId3" Type="http://schemas.openxmlformats.org/officeDocument/2006/relationships/printerSettings" Target="../printerSettings/printerSettings336.bin"/><Relationship Id="rId7" Type="http://schemas.openxmlformats.org/officeDocument/2006/relationships/printerSettings" Target="../printerSettings/printerSettings340.bin"/><Relationship Id="rId12" Type="http://schemas.openxmlformats.org/officeDocument/2006/relationships/printerSettings" Target="../printerSettings/printerSettings345.bin"/><Relationship Id="rId17" Type="http://schemas.openxmlformats.org/officeDocument/2006/relationships/printerSettings" Target="../printerSettings/printerSettings350.bin"/><Relationship Id="rId2" Type="http://schemas.openxmlformats.org/officeDocument/2006/relationships/printerSettings" Target="../printerSettings/printerSettings335.bin"/><Relationship Id="rId16" Type="http://schemas.openxmlformats.org/officeDocument/2006/relationships/printerSettings" Target="../printerSettings/printerSettings349.bin"/><Relationship Id="rId1" Type="http://schemas.openxmlformats.org/officeDocument/2006/relationships/printerSettings" Target="../printerSettings/printerSettings334.bin"/><Relationship Id="rId6" Type="http://schemas.openxmlformats.org/officeDocument/2006/relationships/printerSettings" Target="../printerSettings/printerSettings339.bin"/><Relationship Id="rId11" Type="http://schemas.openxmlformats.org/officeDocument/2006/relationships/printerSettings" Target="../printerSettings/printerSettings344.bin"/><Relationship Id="rId5" Type="http://schemas.openxmlformats.org/officeDocument/2006/relationships/printerSettings" Target="../printerSettings/printerSettings338.bin"/><Relationship Id="rId15" Type="http://schemas.openxmlformats.org/officeDocument/2006/relationships/printerSettings" Target="../printerSettings/printerSettings348.bin"/><Relationship Id="rId10" Type="http://schemas.openxmlformats.org/officeDocument/2006/relationships/printerSettings" Target="../printerSettings/printerSettings343.bin"/><Relationship Id="rId4" Type="http://schemas.openxmlformats.org/officeDocument/2006/relationships/printerSettings" Target="../printerSettings/printerSettings337.bin"/><Relationship Id="rId9" Type="http://schemas.openxmlformats.org/officeDocument/2006/relationships/printerSettings" Target="../printerSettings/printerSettings342.bin"/><Relationship Id="rId14" Type="http://schemas.openxmlformats.org/officeDocument/2006/relationships/printerSettings" Target="../printerSettings/printerSettings34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13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12" Type="http://schemas.openxmlformats.org/officeDocument/2006/relationships/printerSettings" Target="../printerSettings/printerSettings43.bin"/><Relationship Id="rId1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3.bin"/><Relationship Id="rId16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Relationship Id="rId14" Type="http://schemas.openxmlformats.org/officeDocument/2006/relationships/printerSettings" Target="../printerSettings/printerSettings45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8.bin"/><Relationship Id="rId13" Type="http://schemas.openxmlformats.org/officeDocument/2006/relationships/printerSettings" Target="../printerSettings/printerSettings363.bin"/><Relationship Id="rId3" Type="http://schemas.openxmlformats.org/officeDocument/2006/relationships/printerSettings" Target="../printerSettings/printerSettings353.bin"/><Relationship Id="rId7" Type="http://schemas.openxmlformats.org/officeDocument/2006/relationships/printerSettings" Target="../printerSettings/printerSettings357.bin"/><Relationship Id="rId12" Type="http://schemas.openxmlformats.org/officeDocument/2006/relationships/printerSettings" Target="../printerSettings/printerSettings362.bin"/><Relationship Id="rId17" Type="http://schemas.openxmlformats.org/officeDocument/2006/relationships/printerSettings" Target="../printerSettings/printerSettings367.bin"/><Relationship Id="rId2" Type="http://schemas.openxmlformats.org/officeDocument/2006/relationships/printerSettings" Target="../printerSettings/printerSettings352.bin"/><Relationship Id="rId16" Type="http://schemas.openxmlformats.org/officeDocument/2006/relationships/printerSettings" Target="../printerSettings/printerSettings366.bin"/><Relationship Id="rId1" Type="http://schemas.openxmlformats.org/officeDocument/2006/relationships/printerSettings" Target="../printerSettings/printerSettings351.bin"/><Relationship Id="rId6" Type="http://schemas.openxmlformats.org/officeDocument/2006/relationships/printerSettings" Target="../printerSettings/printerSettings356.bin"/><Relationship Id="rId11" Type="http://schemas.openxmlformats.org/officeDocument/2006/relationships/printerSettings" Target="../printerSettings/printerSettings361.bin"/><Relationship Id="rId5" Type="http://schemas.openxmlformats.org/officeDocument/2006/relationships/printerSettings" Target="../printerSettings/printerSettings355.bin"/><Relationship Id="rId15" Type="http://schemas.openxmlformats.org/officeDocument/2006/relationships/printerSettings" Target="../printerSettings/printerSettings365.bin"/><Relationship Id="rId10" Type="http://schemas.openxmlformats.org/officeDocument/2006/relationships/printerSettings" Target="../printerSettings/printerSettings360.bin"/><Relationship Id="rId4" Type="http://schemas.openxmlformats.org/officeDocument/2006/relationships/printerSettings" Target="../printerSettings/printerSettings354.bin"/><Relationship Id="rId9" Type="http://schemas.openxmlformats.org/officeDocument/2006/relationships/printerSettings" Target="../printerSettings/printerSettings359.bin"/><Relationship Id="rId14" Type="http://schemas.openxmlformats.org/officeDocument/2006/relationships/printerSettings" Target="../printerSettings/printerSettings364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5.bin"/><Relationship Id="rId13" Type="http://schemas.openxmlformats.org/officeDocument/2006/relationships/printerSettings" Target="../printerSettings/printerSettings380.bin"/><Relationship Id="rId3" Type="http://schemas.openxmlformats.org/officeDocument/2006/relationships/printerSettings" Target="../printerSettings/printerSettings370.bin"/><Relationship Id="rId7" Type="http://schemas.openxmlformats.org/officeDocument/2006/relationships/printerSettings" Target="../printerSettings/printerSettings374.bin"/><Relationship Id="rId12" Type="http://schemas.openxmlformats.org/officeDocument/2006/relationships/printerSettings" Target="../printerSettings/printerSettings379.bin"/><Relationship Id="rId17" Type="http://schemas.openxmlformats.org/officeDocument/2006/relationships/printerSettings" Target="../printerSettings/printerSettings384.bin"/><Relationship Id="rId2" Type="http://schemas.openxmlformats.org/officeDocument/2006/relationships/printerSettings" Target="../printerSettings/printerSettings369.bin"/><Relationship Id="rId16" Type="http://schemas.openxmlformats.org/officeDocument/2006/relationships/printerSettings" Target="../printerSettings/printerSettings383.bin"/><Relationship Id="rId1" Type="http://schemas.openxmlformats.org/officeDocument/2006/relationships/printerSettings" Target="../printerSettings/printerSettings368.bin"/><Relationship Id="rId6" Type="http://schemas.openxmlformats.org/officeDocument/2006/relationships/printerSettings" Target="../printerSettings/printerSettings373.bin"/><Relationship Id="rId11" Type="http://schemas.openxmlformats.org/officeDocument/2006/relationships/printerSettings" Target="../printerSettings/printerSettings378.bin"/><Relationship Id="rId5" Type="http://schemas.openxmlformats.org/officeDocument/2006/relationships/printerSettings" Target="../printerSettings/printerSettings372.bin"/><Relationship Id="rId15" Type="http://schemas.openxmlformats.org/officeDocument/2006/relationships/printerSettings" Target="../printerSettings/printerSettings382.bin"/><Relationship Id="rId10" Type="http://schemas.openxmlformats.org/officeDocument/2006/relationships/printerSettings" Target="../printerSettings/printerSettings377.bin"/><Relationship Id="rId4" Type="http://schemas.openxmlformats.org/officeDocument/2006/relationships/printerSettings" Target="../printerSettings/printerSettings371.bin"/><Relationship Id="rId9" Type="http://schemas.openxmlformats.org/officeDocument/2006/relationships/printerSettings" Target="../printerSettings/printerSettings376.bin"/><Relationship Id="rId14" Type="http://schemas.openxmlformats.org/officeDocument/2006/relationships/printerSettings" Target="../printerSettings/printerSettings38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2.bin"/><Relationship Id="rId13" Type="http://schemas.openxmlformats.org/officeDocument/2006/relationships/printerSettings" Target="../printerSettings/printerSettings397.bin"/><Relationship Id="rId3" Type="http://schemas.openxmlformats.org/officeDocument/2006/relationships/printerSettings" Target="../printerSettings/printerSettings387.bin"/><Relationship Id="rId7" Type="http://schemas.openxmlformats.org/officeDocument/2006/relationships/printerSettings" Target="../printerSettings/printerSettings391.bin"/><Relationship Id="rId12" Type="http://schemas.openxmlformats.org/officeDocument/2006/relationships/printerSettings" Target="../printerSettings/printerSettings396.bin"/><Relationship Id="rId17" Type="http://schemas.openxmlformats.org/officeDocument/2006/relationships/printerSettings" Target="../printerSettings/printerSettings401.bin"/><Relationship Id="rId2" Type="http://schemas.openxmlformats.org/officeDocument/2006/relationships/printerSettings" Target="../printerSettings/printerSettings386.bin"/><Relationship Id="rId16" Type="http://schemas.openxmlformats.org/officeDocument/2006/relationships/printerSettings" Target="../printerSettings/printerSettings400.bin"/><Relationship Id="rId1" Type="http://schemas.openxmlformats.org/officeDocument/2006/relationships/printerSettings" Target="../printerSettings/printerSettings385.bin"/><Relationship Id="rId6" Type="http://schemas.openxmlformats.org/officeDocument/2006/relationships/printerSettings" Target="../printerSettings/printerSettings390.bin"/><Relationship Id="rId11" Type="http://schemas.openxmlformats.org/officeDocument/2006/relationships/printerSettings" Target="../printerSettings/printerSettings395.bin"/><Relationship Id="rId5" Type="http://schemas.openxmlformats.org/officeDocument/2006/relationships/printerSettings" Target="../printerSettings/printerSettings389.bin"/><Relationship Id="rId15" Type="http://schemas.openxmlformats.org/officeDocument/2006/relationships/printerSettings" Target="../printerSettings/printerSettings399.bin"/><Relationship Id="rId10" Type="http://schemas.openxmlformats.org/officeDocument/2006/relationships/printerSettings" Target="../printerSettings/printerSettings394.bin"/><Relationship Id="rId4" Type="http://schemas.openxmlformats.org/officeDocument/2006/relationships/printerSettings" Target="../printerSettings/printerSettings388.bin"/><Relationship Id="rId9" Type="http://schemas.openxmlformats.org/officeDocument/2006/relationships/printerSettings" Target="../printerSettings/printerSettings393.bin"/><Relationship Id="rId14" Type="http://schemas.openxmlformats.org/officeDocument/2006/relationships/printerSettings" Target="../printerSettings/printerSettings398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9.bin"/><Relationship Id="rId13" Type="http://schemas.openxmlformats.org/officeDocument/2006/relationships/printerSettings" Target="../printerSettings/printerSettings414.bin"/><Relationship Id="rId3" Type="http://schemas.openxmlformats.org/officeDocument/2006/relationships/printerSettings" Target="../printerSettings/printerSettings404.bin"/><Relationship Id="rId7" Type="http://schemas.openxmlformats.org/officeDocument/2006/relationships/printerSettings" Target="../printerSettings/printerSettings408.bin"/><Relationship Id="rId12" Type="http://schemas.openxmlformats.org/officeDocument/2006/relationships/printerSettings" Target="../printerSettings/printerSettings413.bin"/><Relationship Id="rId17" Type="http://schemas.openxmlformats.org/officeDocument/2006/relationships/printerSettings" Target="../printerSettings/printerSettings418.bin"/><Relationship Id="rId2" Type="http://schemas.openxmlformats.org/officeDocument/2006/relationships/printerSettings" Target="../printerSettings/printerSettings403.bin"/><Relationship Id="rId16" Type="http://schemas.openxmlformats.org/officeDocument/2006/relationships/printerSettings" Target="../printerSettings/printerSettings417.bin"/><Relationship Id="rId1" Type="http://schemas.openxmlformats.org/officeDocument/2006/relationships/printerSettings" Target="../printerSettings/printerSettings402.bin"/><Relationship Id="rId6" Type="http://schemas.openxmlformats.org/officeDocument/2006/relationships/printerSettings" Target="../printerSettings/printerSettings407.bin"/><Relationship Id="rId11" Type="http://schemas.openxmlformats.org/officeDocument/2006/relationships/printerSettings" Target="../printerSettings/printerSettings412.bin"/><Relationship Id="rId5" Type="http://schemas.openxmlformats.org/officeDocument/2006/relationships/printerSettings" Target="../printerSettings/printerSettings406.bin"/><Relationship Id="rId15" Type="http://schemas.openxmlformats.org/officeDocument/2006/relationships/printerSettings" Target="../printerSettings/printerSettings416.bin"/><Relationship Id="rId10" Type="http://schemas.openxmlformats.org/officeDocument/2006/relationships/printerSettings" Target="../printerSettings/printerSettings411.bin"/><Relationship Id="rId4" Type="http://schemas.openxmlformats.org/officeDocument/2006/relationships/printerSettings" Target="../printerSettings/printerSettings405.bin"/><Relationship Id="rId9" Type="http://schemas.openxmlformats.org/officeDocument/2006/relationships/printerSettings" Target="../printerSettings/printerSettings410.bin"/><Relationship Id="rId14" Type="http://schemas.openxmlformats.org/officeDocument/2006/relationships/printerSettings" Target="../printerSettings/printerSettings41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6.bin"/><Relationship Id="rId13" Type="http://schemas.openxmlformats.org/officeDocument/2006/relationships/printerSettings" Target="../printerSettings/printerSettings431.bin"/><Relationship Id="rId3" Type="http://schemas.openxmlformats.org/officeDocument/2006/relationships/printerSettings" Target="../printerSettings/printerSettings421.bin"/><Relationship Id="rId7" Type="http://schemas.openxmlformats.org/officeDocument/2006/relationships/printerSettings" Target="../printerSettings/printerSettings425.bin"/><Relationship Id="rId12" Type="http://schemas.openxmlformats.org/officeDocument/2006/relationships/printerSettings" Target="../printerSettings/printerSettings430.bin"/><Relationship Id="rId17" Type="http://schemas.openxmlformats.org/officeDocument/2006/relationships/printerSettings" Target="../printerSettings/printerSettings435.bin"/><Relationship Id="rId2" Type="http://schemas.openxmlformats.org/officeDocument/2006/relationships/printerSettings" Target="../printerSettings/printerSettings420.bin"/><Relationship Id="rId16" Type="http://schemas.openxmlformats.org/officeDocument/2006/relationships/printerSettings" Target="../printerSettings/printerSettings434.bin"/><Relationship Id="rId1" Type="http://schemas.openxmlformats.org/officeDocument/2006/relationships/printerSettings" Target="../printerSettings/printerSettings419.bin"/><Relationship Id="rId6" Type="http://schemas.openxmlformats.org/officeDocument/2006/relationships/printerSettings" Target="../printerSettings/printerSettings424.bin"/><Relationship Id="rId11" Type="http://schemas.openxmlformats.org/officeDocument/2006/relationships/printerSettings" Target="../printerSettings/printerSettings429.bin"/><Relationship Id="rId5" Type="http://schemas.openxmlformats.org/officeDocument/2006/relationships/printerSettings" Target="../printerSettings/printerSettings423.bin"/><Relationship Id="rId15" Type="http://schemas.openxmlformats.org/officeDocument/2006/relationships/printerSettings" Target="../printerSettings/printerSettings433.bin"/><Relationship Id="rId10" Type="http://schemas.openxmlformats.org/officeDocument/2006/relationships/printerSettings" Target="../printerSettings/printerSettings428.bin"/><Relationship Id="rId4" Type="http://schemas.openxmlformats.org/officeDocument/2006/relationships/printerSettings" Target="../printerSettings/printerSettings422.bin"/><Relationship Id="rId9" Type="http://schemas.openxmlformats.org/officeDocument/2006/relationships/printerSettings" Target="../printerSettings/printerSettings427.bin"/><Relationship Id="rId14" Type="http://schemas.openxmlformats.org/officeDocument/2006/relationships/printerSettings" Target="../printerSettings/printerSettings432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3.bin"/><Relationship Id="rId13" Type="http://schemas.openxmlformats.org/officeDocument/2006/relationships/printerSettings" Target="../printerSettings/printerSettings448.bin"/><Relationship Id="rId3" Type="http://schemas.openxmlformats.org/officeDocument/2006/relationships/printerSettings" Target="../printerSettings/printerSettings438.bin"/><Relationship Id="rId7" Type="http://schemas.openxmlformats.org/officeDocument/2006/relationships/printerSettings" Target="../printerSettings/printerSettings442.bin"/><Relationship Id="rId12" Type="http://schemas.openxmlformats.org/officeDocument/2006/relationships/printerSettings" Target="../printerSettings/printerSettings447.bin"/><Relationship Id="rId17" Type="http://schemas.openxmlformats.org/officeDocument/2006/relationships/printerSettings" Target="../printerSettings/printerSettings452.bin"/><Relationship Id="rId2" Type="http://schemas.openxmlformats.org/officeDocument/2006/relationships/printerSettings" Target="../printerSettings/printerSettings437.bin"/><Relationship Id="rId16" Type="http://schemas.openxmlformats.org/officeDocument/2006/relationships/printerSettings" Target="../printerSettings/printerSettings451.bin"/><Relationship Id="rId1" Type="http://schemas.openxmlformats.org/officeDocument/2006/relationships/printerSettings" Target="../printerSettings/printerSettings436.bin"/><Relationship Id="rId6" Type="http://schemas.openxmlformats.org/officeDocument/2006/relationships/printerSettings" Target="../printerSettings/printerSettings441.bin"/><Relationship Id="rId11" Type="http://schemas.openxmlformats.org/officeDocument/2006/relationships/printerSettings" Target="../printerSettings/printerSettings446.bin"/><Relationship Id="rId5" Type="http://schemas.openxmlformats.org/officeDocument/2006/relationships/printerSettings" Target="../printerSettings/printerSettings440.bin"/><Relationship Id="rId15" Type="http://schemas.openxmlformats.org/officeDocument/2006/relationships/printerSettings" Target="../printerSettings/printerSettings450.bin"/><Relationship Id="rId10" Type="http://schemas.openxmlformats.org/officeDocument/2006/relationships/printerSettings" Target="../printerSettings/printerSettings445.bin"/><Relationship Id="rId4" Type="http://schemas.openxmlformats.org/officeDocument/2006/relationships/printerSettings" Target="../printerSettings/printerSettings439.bin"/><Relationship Id="rId9" Type="http://schemas.openxmlformats.org/officeDocument/2006/relationships/printerSettings" Target="../printerSettings/printerSettings444.bin"/><Relationship Id="rId14" Type="http://schemas.openxmlformats.org/officeDocument/2006/relationships/printerSettings" Target="../printerSettings/printerSettings449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0.bin"/><Relationship Id="rId13" Type="http://schemas.openxmlformats.org/officeDocument/2006/relationships/printerSettings" Target="../printerSettings/printerSettings465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455.bin"/><Relationship Id="rId7" Type="http://schemas.openxmlformats.org/officeDocument/2006/relationships/printerSettings" Target="../printerSettings/printerSettings459.bin"/><Relationship Id="rId12" Type="http://schemas.openxmlformats.org/officeDocument/2006/relationships/printerSettings" Target="../printerSettings/printerSettings464.bin"/><Relationship Id="rId17" Type="http://schemas.openxmlformats.org/officeDocument/2006/relationships/printerSettings" Target="../printerSettings/printerSettings469.bin"/><Relationship Id="rId2" Type="http://schemas.openxmlformats.org/officeDocument/2006/relationships/printerSettings" Target="../printerSettings/printerSettings454.bin"/><Relationship Id="rId16" Type="http://schemas.openxmlformats.org/officeDocument/2006/relationships/printerSettings" Target="../printerSettings/printerSettings468.bin"/><Relationship Id="rId1" Type="http://schemas.openxmlformats.org/officeDocument/2006/relationships/printerSettings" Target="../printerSettings/printerSettings453.bin"/><Relationship Id="rId6" Type="http://schemas.openxmlformats.org/officeDocument/2006/relationships/printerSettings" Target="../printerSettings/printerSettings458.bin"/><Relationship Id="rId11" Type="http://schemas.openxmlformats.org/officeDocument/2006/relationships/printerSettings" Target="../printerSettings/printerSettings463.bin"/><Relationship Id="rId5" Type="http://schemas.openxmlformats.org/officeDocument/2006/relationships/printerSettings" Target="../printerSettings/printerSettings457.bin"/><Relationship Id="rId15" Type="http://schemas.openxmlformats.org/officeDocument/2006/relationships/printerSettings" Target="../printerSettings/printerSettings467.bin"/><Relationship Id="rId10" Type="http://schemas.openxmlformats.org/officeDocument/2006/relationships/printerSettings" Target="../printerSettings/printerSettings462.bin"/><Relationship Id="rId19" Type="http://schemas.openxmlformats.org/officeDocument/2006/relationships/comments" Target="../comments1.xml"/><Relationship Id="rId4" Type="http://schemas.openxmlformats.org/officeDocument/2006/relationships/printerSettings" Target="../printerSettings/printerSettings456.bin"/><Relationship Id="rId9" Type="http://schemas.openxmlformats.org/officeDocument/2006/relationships/printerSettings" Target="../printerSettings/printerSettings461.bin"/><Relationship Id="rId14" Type="http://schemas.openxmlformats.org/officeDocument/2006/relationships/printerSettings" Target="../printerSettings/printerSettings466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7.bin"/><Relationship Id="rId13" Type="http://schemas.openxmlformats.org/officeDocument/2006/relationships/printerSettings" Target="../printerSettings/printerSettings482.bin"/><Relationship Id="rId3" Type="http://schemas.openxmlformats.org/officeDocument/2006/relationships/printerSettings" Target="../printerSettings/printerSettings472.bin"/><Relationship Id="rId7" Type="http://schemas.openxmlformats.org/officeDocument/2006/relationships/printerSettings" Target="../printerSettings/printerSettings476.bin"/><Relationship Id="rId12" Type="http://schemas.openxmlformats.org/officeDocument/2006/relationships/printerSettings" Target="../printerSettings/printerSettings481.bin"/><Relationship Id="rId17" Type="http://schemas.openxmlformats.org/officeDocument/2006/relationships/printerSettings" Target="../printerSettings/printerSettings486.bin"/><Relationship Id="rId2" Type="http://schemas.openxmlformats.org/officeDocument/2006/relationships/printerSettings" Target="../printerSettings/printerSettings471.bin"/><Relationship Id="rId16" Type="http://schemas.openxmlformats.org/officeDocument/2006/relationships/printerSettings" Target="../printerSettings/printerSettings485.bin"/><Relationship Id="rId1" Type="http://schemas.openxmlformats.org/officeDocument/2006/relationships/printerSettings" Target="../printerSettings/printerSettings470.bin"/><Relationship Id="rId6" Type="http://schemas.openxmlformats.org/officeDocument/2006/relationships/printerSettings" Target="../printerSettings/printerSettings475.bin"/><Relationship Id="rId11" Type="http://schemas.openxmlformats.org/officeDocument/2006/relationships/printerSettings" Target="../printerSettings/printerSettings480.bin"/><Relationship Id="rId5" Type="http://schemas.openxmlformats.org/officeDocument/2006/relationships/printerSettings" Target="../printerSettings/printerSettings474.bin"/><Relationship Id="rId15" Type="http://schemas.openxmlformats.org/officeDocument/2006/relationships/printerSettings" Target="../printerSettings/printerSettings484.bin"/><Relationship Id="rId10" Type="http://schemas.openxmlformats.org/officeDocument/2006/relationships/printerSettings" Target="../printerSettings/printerSettings479.bin"/><Relationship Id="rId4" Type="http://schemas.openxmlformats.org/officeDocument/2006/relationships/printerSettings" Target="../printerSettings/printerSettings473.bin"/><Relationship Id="rId9" Type="http://schemas.openxmlformats.org/officeDocument/2006/relationships/printerSettings" Target="../printerSettings/printerSettings478.bin"/><Relationship Id="rId14" Type="http://schemas.openxmlformats.org/officeDocument/2006/relationships/printerSettings" Target="../printerSettings/printerSettings483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4.bin"/><Relationship Id="rId13" Type="http://schemas.openxmlformats.org/officeDocument/2006/relationships/printerSettings" Target="../printerSettings/printerSettings499.bin"/><Relationship Id="rId3" Type="http://schemas.openxmlformats.org/officeDocument/2006/relationships/printerSettings" Target="../printerSettings/printerSettings489.bin"/><Relationship Id="rId7" Type="http://schemas.openxmlformats.org/officeDocument/2006/relationships/printerSettings" Target="../printerSettings/printerSettings493.bin"/><Relationship Id="rId12" Type="http://schemas.openxmlformats.org/officeDocument/2006/relationships/printerSettings" Target="../printerSettings/printerSettings498.bin"/><Relationship Id="rId17" Type="http://schemas.openxmlformats.org/officeDocument/2006/relationships/printerSettings" Target="../printerSettings/printerSettings503.bin"/><Relationship Id="rId2" Type="http://schemas.openxmlformats.org/officeDocument/2006/relationships/printerSettings" Target="../printerSettings/printerSettings488.bin"/><Relationship Id="rId16" Type="http://schemas.openxmlformats.org/officeDocument/2006/relationships/printerSettings" Target="../printerSettings/printerSettings502.bin"/><Relationship Id="rId1" Type="http://schemas.openxmlformats.org/officeDocument/2006/relationships/printerSettings" Target="../printerSettings/printerSettings487.bin"/><Relationship Id="rId6" Type="http://schemas.openxmlformats.org/officeDocument/2006/relationships/printerSettings" Target="../printerSettings/printerSettings492.bin"/><Relationship Id="rId11" Type="http://schemas.openxmlformats.org/officeDocument/2006/relationships/printerSettings" Target="../printerSettings/printerSettings497.bin"/><Relationship Id="rId5" Type="http://schemas.openxmlformats.org/officeDocument/2006/relationships/printerSettings" Target="../printerSettings/printerSettings491.bin"/><Relationship Id="rId15" Type="http://schemas.openxmlformats.org/officeDocument/2006/relationships/printerSettings" Target="../printerSettings/printerSettings501.bin"/><Relationship Id="rId10" Type="http://schemas.openxmlformats.org/officeDocument/2006/relationships/printerSettings" Target="../printerSettings/printerSettings496.bin"/><Relationship Id="rId4" Type="http://schemas.openxmlformats.org/officeDocument/2006/relationships/printerSettings" Target="../printerSettings/printerSettings490.bin"/><Relationship Id="rId9" Type="http://schemas.openxmlformats.org/officeDocument/2006/relationships/printerSettings" Target="../printerSettings/printerSettings495.bin"/><Relationship Id="rId14" Type="http://schemas.openxmlformats.org/officeDocument/2006/relationships/printerSettings" Target="../printerSettings/printerSettings500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1.bin"/><Relationship Id="rId13" Type="http://schemas.openxmlformats.org/officeDocument/2006/relationships/printerSettings" Target="../printerSettings/printerSettings516.bin"/><Relationship Id="rId3" Type="http://schemas.openxmlformats.org/officeDocument/2006/relationships/printerSettings" Target="../printerSettings/printerSettings506.bin"/><Relationship Id="rId7" Type="http://schemas.openxmlformats.org/officeDocument/2006/relationships/printerSettings" Target="../printerSettings/printerSettings510.bin"/><Relationship Id="rId12" Type="http://schemas.openxmlformats.org/officeDocument/2006/relationships/printerSettings" Target="../printerSettings/printerSettings515.bin"/><Relationship Id="rId17" Type="http://schemas.openxmlformats.org/officeDocument/2006/relationships/printerSettings" Target="../printerSettings/printerSettings520.bin"/><Relationship Id="rId2" Type="http://schemas.openxmlformats.org/officeDocument/2006/relationships/printerSettings" Target="../printerSettings/printerSettings505.bin"/><Relationship Id="rId16" Type="http://schemas.openxmlformats.org/officeDocument/2006/relationships/printerSettings" Target="../printerSettings/printerSettings519.bin"/><Relationship Id="rId1" Type="http://schemas.openxmlformats.org/officeDocument/2006/relationships/printerSettings" Target="../printerSettings/printerSettings504.bin"/><Relationship Id="rId6" Type="http://schemas.openxmlformats.org/officeDocument/2006/relationships/printerSettings" Target="../printerSettings/printerSettings509.bin"/><Relationship Id="rId11" Type="http://schemas.openxmlformats.org/officeDocument/2006/relationships/printerSettings" Target="../printerSettings/printerSettings514.bin"/><Relationship Id="rId5" Type="http://schemas.openxmlformats.org/officeDocument/2006/relationships/printerSettings" Target="../printerSettings/printerSettings508.bin"/><Relationship Id="rId15" Type="http://schemas.openxmlformats.org/officeDocument/2006/relationships/printerSettings" Target="../printerSettings/printerSettings518.bin"/><Relationship Id="rId10" Type="http://schemas.openxmlformats.org/officeDocument/2006/relationships/printerSettings" Target="../printerSettings/printerSettings513.bin"/><Relationship Id="rId4" Type="http://schemas.openxmlformats.org/officeDocument/2006/relationships/printerSettings" Target="../printerSettings/printerSettings507.bin"/><Relationship Id="rId9" Type="http://schemas.openxmlformats.org/officeDocument/2006/relationships/printerSettings" Target="../printerSettings/printerSettings512.bin"/><Relationship Id="rId14" Type="http://schemas.openxmlformats.org/officeDocument/2006/relationships/printerSettings" Target="../printerSettings/printerSettings5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1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8.bin"/><Relationship Id="rId13" Type="http://schemas.openxmlformats.org/officeDocument/2006/relationships/printerSettings" Target="../printerSettings/printerSettings533.bin"/><Relationship Id="rId3" Type="http://schemas.openxmlformats.org/officeDocument/2006/relationships/printerSettings" Target="../printerSettings/printerSettings523.bin"/><Relationship Id="rId7" Type="http://schemas.openxmlformats.org/officeDocument/2006/relationships/printerSettings" Target="../printerSettings/printerSettings527.bin"/><Relationship Id="rId12" Type="http://schemas.openxmlformats.org/officeDocument/2006/relationships/printerSettings" Target="../printerSettings/printerSettings532.bin"/><Relationship Id="rId17" Type="http://schemas.openxmlformats.org/officeDocument/2006/relationships/printerSettings" Target="../printerSettings/printerSettings537.bin"/><Relationship Id="rId2" Type="http://schemas.openxmlformats.org/officeDocument/2006/relationships/printerSettings" Target="../printerSettings/printerSettings522.bin"/><Relationship Id="rId16" Type="http://schemas.openxmlformats.org/officeDocument/2006/relationships/printerSettings" Target="../printerSettings/printerSettings536.bin"/><Relationship Id="rId1" Type="http://schemas.openxmlformats.org/officeDocument/2006/relationships/printerSettings" Target="../printerSettings/printerSettings521.bin"/><Relationship Id="rId6" Type="http://schemas.openxmlformats.org/officeDocument/2006/relationships/printerSettings" Target="../printerSettings/printerSettings526.bin"/><Relationship Id="rId11" Type="http://schemas.openxmlformats.org/officeDocument/2006/relationships/printerSettings" Target="../printerSettings/printerSettings531.bin"/><Relationship Id="rId5" Type="http://schemas.openxmlformats.org/officeDocument/2006/relationships/printerSettings" Target="../printerSettings/printerSettings525.bin"/><Relationship Id="rId15" Type="http://schemas.openxmlformats.org/officeDocument/2006/relationships/printerSettings" Target="../printerSettings/printerSettings535.bin"/><Relationship Id="rId10" Type="http://schemas.openxmlformats.org/officeDocument/2006/relationships/printerSettings" Target="../printerSettings/printerSettings530.bin"/><Relationship Id="rId4" Type="http://schemas.openxmlformats.org/officeDocument/2006/relationships/printerSettings" Target="../printerSettings/printerSettings524.bin"/><Relationship Id="rId9" Type="http://schemas.openxmlformats.org/officeDocument/2006/relationships/printerSettings" Target="../printerSettings/printerSettings529.bin"/><Relationship Id="rId14" Type="http://schemas.openxmlformats.org/officeDocument/2006/relationships/printerSettings" Target="../printerSettings/printerSettings534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5.bin"/><Relationship Id="rId13" Type="http://schemas.openxmlformats.org/officeDocument/2006/relationships/printerSettings" Target="../printerSettings/printerSettings550.bin"/><Relationship Id="rId3" Type="http://schemas.openxmlformats.org/officeDocument/2006/relationships/printerSettings" Target="../printerSettings/printerSettings540.bin"/><Relationship Id="rId7" Type="http://schemas.openxmlformats.org/officeDocument/2006/relationships/printerSettings" Target="../printerSettings/printerSettings544.bin"/><Relationship Id="rId12" Type="http://schemas.openxmlformats.org/officeDocument/2006/relationships/printerSettings" Target="../printerSettings/printerSettings549.bin"/><Relationship Id="rId17" Type="http://schemas.openxmlformats.org/officeDocument/2006/relationships/printerSettings" Target="../printerSettings/printerSettings554.bin"/><Relationship Id="rId2" Type="http://schemas.openxmlformats.org/officeDocument/2006/relationships/printerSettings" Target="../printerSettings/printerSettings539.bin"/><Relationship Id="rId16" Type="http://schemas.openxmlformats.org/officeDocument/2006/relationships/printerSettings" Target="../printerSettings/printerSettings553.bin"/><Relationship Id="rId1" Type="http://schemas.openxmlformats.org/officeDocument/2006/relationships/printerSettings" Target="../printerSettings/printerSettings538.bin"/><Relationship Id="rId6" Type="http://schemas.openxmlformats.org/officeDocument/2006/relationships/printerSettings" Target="../printerSettings/printerSettings543.bin"/><Relationship Id="rId11" Type="http://schemas.openxmlformats.org/officeDocument/2006/relationships/printerSettings" Target="../printerSettings/printerSettings548.bin"/><Relationship Id="rId5" Type="http://schemas.openxmlformats.org/officeDocument/2006/relationships/printerSettings" Target="../printerSettings/printerSettings542.bin"/><Relationship Id="rId15" Type="http://schemas.openxmlformats.org/officeDocument/2006/relationships/printerSettings" Target="../printerSettings/printerSettings552.bin"/><Relationship Id="rId10" Type="http://schemas.openxmlformats.org/officeDocument/2006/relationships/printerSettings" Target="../printerSettings/printerSettings547.bin"/><Relationship Id="rId4" Type="http://schemas.openxmlformats.org/officeDocument/2006/relationships/printerSettings" Target="../printerSettings/printerSettings541.bin"/><Relationship Id="rId9" Type="http://schemas.openxmlformats.org/officeDocument/2006/relationships/printerSettings" Target="../printerSettings/printerSettings546.bin"/><Relationship Id="rId14" Type="http://schemas.openxmlformats.org/officeDocument/2006/relationships/printerSettings" Target="../printerSettings/printerSettings55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18" Type="http://schemas.openxmlformats.org/officeDocument/2006/relationships/printerSettings" Target="../printerSettings/printerSettings83.bin"/><Relationship Id="rId26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68.bin"/><Relationship Id="rId21" Type="http://schemas.openxmlformats.org/officeDocument/2006/relationships/printerSettings" Target="../printerSettings/printerSettings86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17" Type="http://schemas.openxmlformats.org/officeDocument/2006/relationships/printerSettings" Target="../printerSettings/printerSettings82.bin"/><Relationship Id="rId25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67.bin"/><Relationship Id="rId16" Type="http://schemas.openxmlformats.org/officeDocument/2006/relationships/printerSettings" Target="../printerSettings/printerSettings81.bin"/><Relationship Id="rId20" Type="http://schemas.openxmlformats.org/officeDocument/2006/relationships/printerSettings" Target="../printerSettings/printerSettings85.bin"/><Relationship Id="rId29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24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70.bin"/><Relationship Id="rId15" Type="http://schemas.openxmlformats.org/officeDocument/2006/relationships/printerSettings" Target="../printerSettings/printerSettings80.bin"/><Relationship Id="rId23" Type="http://schemas.openxmlformats.org/officeDocument/2006/relationships/printerSettings" Target="../printerSettings/printerSettings88.bin"/><Relationship Id="rId28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75.bin"/><Relationship Id="rId19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Relationship Id="rId14" Type="http://schemas.openxmlformats.org/officeDocument/2006/relationships/printerSettings" Target="../printerSettings/printerSettings79.bin"/><Relationship Id="rId22" Type="http://schemas.openxmlformats.org/officeDocument/2006/relationships/printerSettings" Target="../printerSettings/printerSettings87.bin"/><Relationship Id="rId27" Type="http://schemas.openxmlformats.org/officeDocument/2006/relationships/printerSettings" Target="../printerSettings/printerSettings92.bin"/><Relationship Id="rId30" Type="http://schemas.openxmlformats.org/officeDocument/2006/relationships/printerSettings" Target="../printerSettings/printerSettings9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3.bin"/><Relationship Id="rId13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12" Type="http://schemas.openxmlformats.org/officeDocument/2006/relationships/printerSettings" Target="../printerSettings/printerSettings107.bin"/><Relationship Id="rId1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97.bin"/><Relationship Id="rId16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1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0.bin"/><Relationship Id="rId15" Type="http://schemas.openxmlformats.org/officeDocument/2006/relationships/printerSettings" Target="../printerSettings/printerSettings110.bin"/><Relationship Id="rId10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99.bin"/><Relationship Id="rId9" Type="http://schemas.openxmlformats.org/officeDocument/2006/relationships/printerSettings" Target="../printerSettings/printerSettings104.bin"/><Relationship Id="rId14" Type="http://schemas.openxmlformats.org/officeDocument/2006/relationships/printerSettings" Target="../printerSettings/printerSettings10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1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4.bin"/><Relationship Id="rId16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5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17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31.bin"/><Relationship Id="rId16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4.bin"/><Relationship Id="rId15" Type="http://schemas.openxmlformats.org/officeDocument/2006/relationships/printerSettings" Target="../printerSettings/printerSettings144.bin"/><Relationship Id="rId10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4.bin"/><Relationship Id="rId13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49.bin"/><Relationship Id="rId7" Type="http://schemas.openxmlformats.org/officeDocument/2006/relationships/printerSettings" Target="../printerSettings/printerSettings153.bin"/><Relationship Id="rId12" Type="http://schemas.openxmlformats.org/officeDocument/2006/relationships/printerSettings" Target="../printerSettings/printerSettings158.bin"/><Relationship Id="rId17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48.bin"/><Relationship Id="rId16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47.bin"/><Relationship Id="rId6" Type="http://schemas.openxmlformats.org/officeDocument/2006/relationships/printerSettings" Target="../printerSettings/printerSettings152.bin"/><Relationship Id="rId11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51.bin"/><Relationship Id="rId1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56.bin"/><Relationship Id="rId4" Type="http://schemas.openxmlformats.org/officeDocument/2006/relationships/printerSettings" Target="../printerSettings/printerSettings150.bin"/><Relationship Id="rId9" Type="http://schemas.openxmlformats.org/officeDocument/2006/relationships/printerSettings" Target="../printerSettings/printerSettings155.bin"/><Relationship Id="rId14" Type="http://schemas.openxmlformats.org/officeDocument/2006/relationships/printerSettings" Target="../printerSettings/printerSettings1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66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10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zoomScale="75" zoomScaleNormal="75" workbookViewId="0">
      <pane xSplit="2" ySplit="9" topLeftCell="M10" activePane="bottomRight" state="frozen"/>
      <selection activeCell="H14" sqref="H14"/>
      <selection pane="topRight" activeCell="H14" sqref="H14"/>
      <selection pane="bottomLeft" activeCell="H14" sqref="H14"/>
      <selection pane="bottomRight" activeCell="S1" sqref="S1:U1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5" width="20.42578125" style="2" customWidth="1"/>
    <col min="6" max="6" width="19.5703125" style="2" customWidth="1"/>
    <col min="7" max="7" width="20.42578125" style="2" customWidth="1"/>
    <col min="8" max="10" width="19.5703125" style="2" customWidth="1"/>
    <col min="11" max="11" width="18" style="2" customWidth="1"/>
    <col min="12" max="12" width="17.5703125" style="2" customWidth="1"/>
    <col min="13" max="13" width="15.42578125" style="2" customWidth="1"/>
    <col min="14" max="14" width="19.5703125" style="2" customWidth="1"/>
    <col min="15" max="15" width="22.5703125" style="2" customWidth="1"/>
    <col min="16" max="21" width="19.5703125" style="2" customWidth="1"/>
    <col min="22" max="23" width="9.140625" style="1"/>
    <col min="24" max="16384" width="9.140625" style="2"/>
  </cols>
  <sheetData>
    <row r="1" spans="1:23" ht="36.75" customHeight="1" x14ac:dyDescent="0.25">
      <c r="S1" s="337" t="s">
        <v>463</v>
      </c>
      <c r="T1" s="337"/>
      <c r="U1" s="337"/>
    </row>
    <row r="2" spans="1:23" ht="18.75" x14ac:dyDescent="0.25">
      <c r="A2" s="268" t="s">
        <v>25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3" ht="6" customHeight="1" x14ac:dyDescent="0.3"/>
    <row r="4" spans="1:23" ht="21.75" customHeight="1" x14ac:dyDescent="0.3">
      <c r="A4" s="269" t="s">
        <v>19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3" ht="33.75" customHeight="1" x14ac:dyDescent="0.25">
      <c r="A5" s="270" t="s">
        <v>0</v>
      </c>
      <c r="B5" s="271" t="s">
        <v>26</v>
      </c>
      <c r="C5" s="282" t="s">
        <v>395</v>
      </c>
      <c r="D5" s="283"/>
      <c r="E5" s="278" t="s">
        <v>400</v>
      </c>
      <c r="F5" s="279" t="s">
        <v>401</v>
      </c>
      <c r="G5" s="280"/>
      <c r="H5" s="280"/>
      <c r="I5" s="280"/>
      <c r="J5" s="280"/>
      <c r="K5" s="281"/>
      <c r="L5" s="285" t="s">
        <v>447</v>
      </c>
      <c r="M5" s="285" t="s">
        <v>448</v>
      </c>
      <c r="N5" s="277" t="s">
        <v>22</v>
      </c>
      <c r="O5" s="277"/>
      <c r="P5" s="277"/>
      <c r="Q5" s="277"/>
      <c r="R5" s="277" t="s">
        <v>41</v>
      </c>
      <c r="S5" s="277"/>
      <c r="T5" s="277"/>
      <c r="U5" s="277"/>
    </row>
    <row r="6" spans="1:23" ht="61.5" customHeight="1" x14ac:dyDescent="0.25">
      <c r="A6" s="270"/>
      <c r="B6" s="271"/>
      <c r="C6" s="272" t="s">
        <v>396</v>
      </c>
      <c r="D6" s="272" t="s">
        <v>397</v>
      </c>
      <c r="E6" s="278"/>
      <c r="F6" s="283" t="s">
        <v>398</v>
      </c>
      <c r="G6" s="274" t="s">
        <v>399</v>
      </c>
      <c r="H6" s="275"/>
      <c r="I6" s="275"/>
      <c r="J6" s="271" t="s">
        <v>24</v>
      </c>
      <c r="K6" s="271"/>
      <c r="L6" s="286"/>
      <c r="M6" s="286"/>
      <c r="N6" s="271" t="s">
        <v>8</v>
      </c>
      <c r="O6" s="274" t="s">
        <v>23</v>
      </c>
      <c r="P6" s="275"/>
      <c r="Q6" s="275"/>
      <c r="R6" s="271" t="s">
        <v>8</v>
      </c>
      <c r="S6" s="276" t="s">
        <v>23</v>
      </c>
      <c r="T6" s="276"/>
      <c r="U6" s="276"/>
    </row>
    <row r="7" spans="1:23" ht="18.75" customHeight="1" x14ac:dyDescent="0.25">
      <c r="A7" s="270"/>
      <c r="B7" s="271"/>
      <c r="C7" s="284"/>
      <c r="D7" s="284"/>
      <c r="E7" s="278"/>
      <c r="F7" s="283"/>
      <c r="G7" s="271" t="s">
        <v>403</v>
      </c>
      <c r="H7" s="276" t="s">
        <v>402</v>
      </c>
      <c r="I7" s="276"/>
      <c r="J7" s="288" t="s">
        <v>9</v>
      </c>
      <c r="K7" s="272" t="s">
        <v>20</v>
      </c>
      <c r="L7" s="286"/>
      <c r="M7" s="286"/>
      <c r="N7" s="271"/>
      <c r="O7" s="271" t="s">
        <v>15</v>
      </c>
      <c r="P7" s="276" t="s">
        <v>16</v>
      </c>
      <c r="Q7" s="276"/>
      <c r="R7" s="271"/>
      <c r="S7" s="271" t="s">
        <v>15</v>
      </c>
      <c r="T7" s="276" t="s">
        <v>16</v>
      </c>
      <c r="U7" s="276"/>
    </row>
    <row r="8" spans="1:23" ht="39.75" customHeight="1" x14ac:dyDescent="0.25">
      <c r="A8" s="270"/>
      <c r="B8" s="271"/>
      <c r="C8" s="284"/>
      <c r="D8" s="284"/>
      <c r="E8" s="278"/>
      <c r="F8" s="283"/>
      <c r="G8" s="271"/>
      <c r="H8" s="271" t="s">
        <v>17</v>
      </c>
      <c r="I8" s="272" t="s">
        <v>18</v>
      </c>
      <c r="J8" s="289"/>
      <c r="K8" s="284"/>
      <c r="L8" s="286"/>
      <c r="M8" s="286"/>
      <c r="N8" s="271"/>
      <c r="O8" s="271"/>
      <c r="P8" s="271" t="s">
        <v>17</v>
      </c>
      <c r="Q8" s="272" t="s">
        <v>18</v>
      </c>
      <c r="R8" s="271"/>
      <c r="S8" s="271"/>
      <c r="T8" s="271" t="s">
        <v>17</v>
      </c>
      <c r="U8" s="272" t="s">
        <v>18</v>
      </c>
    </row>
    <row r="9" spans="1:23" ht="37.5" customHeight="1" x14ac:dyDescent="0.25">
      <c r="A9" s="270"/>
      <c r="B9" s="271"/>
      <c r="C9" s="273"/>
      <c r="D9" s="273"/>
      <c r="E9" s="278"/>
      <c r="F9" s="283"/>
      <c r="G9" s="271"/>
      <c r="H9" s="271"/>
      <c r="I9" s="273"/>
      <c r="J9" s="290"/>
      <c r="K9" s="273"/>
      <c r="L9" s="287"/>
      <c r="M9" s="287"/>
      <c r="N9" s="271"/>
      <c r="O9" s="271"/>
      <c r="P9" s="271"/>
      <c r="Q9" s="273"/>
      <c r="R9" s="271"/>
      <c r="S9" s="271"/>
      <c r="T9" s="271"/>
      <c r="U9" s="273"/>
    </row>
    <row r="10" spans="1:23" s="231" customFormat="1" ht="16.5" customHeight="1" x14ac:dyDescent="0.3">
      <c r="A10" s="233">
        <v>1</v>
      </c>
      <c r="B10" s="238">
        <v>2</v>
      </c>
      <c r="C10" s="238">
        <v>3</v>
      </c>
      <c r="D10" s="238">
        <v>4</v>
      </c>
      <c r="E10" s="238">
        <v>5</v>
      </c>
      <c r="F10" s="244">
        <v>6</v>
      </c>
      <c r="G10" s="233">
        <v>7</v>
      </c>
      <c r="H10" s="238">
        <v>8</v>
      </c>
      <c r="I10" s="244">
        <v>9</v>
      </c>
      <c r="J10" s="238">
        <v>10</v>
      </c>
      <c r="K10" s="244">
        <v>11</v>
      </c>
      <c r="L10" s="249"/>
      <c r="M10" s="249"/>
      <c r="N10" s="244">
        <v>12</v>
      </c>
      <c r="O10" s="233">
        <v>13</v>
      </c>
      <c r="P10" s="238">
        <v>14</v>
      </c>
      <c r="Q10" s="244">
        <v>15</v>
      </c>
      <c r="R10" s="244">
        <v>16</v>
      </c>
      <c r="S10" s="233">
        <v>17</v>
      </c>
      <c r="T10" s="238">
        <v>18</v>
      </c>
      <c r="U10" s="244">
        <v>19</v>
      </c>
      <c r="V10" s="264"/>
      <c r="W10" s="264"/>
    </row>
    <row r="11" spans="1:23" s="231" customFormat="1" ht="45" x14ac:dyDescent="0.25">
      <c r="A11" s="234">
        <v>1</v>
      </c>
      <c r="B11" s="7" t="s">
        <v>33</v>
      </c>
      <c r="C11" s="5">
        <v>377400</v>
      </c>
      <c r="D11" s="5">
        <v>276365</v>
      </c>
      <c r="E11" s="5">
        <f>F11+G11</f>
        <v>306000</v>
      </c>
      <c r="F11" s="8">
        <f>'01_молодежная политика'!H26</f>
        <v>0</v>
      </c>
      <c r="G11" s="8">
        <f>'01_молодежная политика'!I26</f>
        <v>306000</v>
      </c>
      <c r="H11" s="8">
        <f>'01_молодежная политика'!J26</f>
        <v>0</v>
      </c>
      <c r="I11" s="8">
        <f>'01_молодежная политика'!K26</f>
        <v>306000</v>
      </c>
      <c r="J11" s="8">
        <f>'01_молодежная политика'!L26</f>
        <v>161400</v>
      </c>
      <c r="K11" s="8">
        <f>'01_молодежная политика'!M26</f>
        <v>0</v>
      </c>
      <c r="L11" s="9">
        <f>'01_молодежная политика'!N26</f>
        <v>0</v>
      </c>
      <c r="M11" s="9">
        <f>'01_молодежная политика'!O26</f>
        <v>161400</v>
      </c>
      <c r="N11" s="8">
        <f>'01_молодежная политика'!P26</f>
        <v>0</v>
      </c>
      <c r="O11" s="8">
        <f>'01_молодежная политика'!Q26</f>
        <v>310100</v>
      </c>
      <c r="P11" s="8">
        <f>'01_молодежная политика'!R26</f>
        <v>0</v>
      </c>
      <c r="Q11" s="8">
        <f>'01_молодежная политика'!S26</f>
        <v>310100</v>
      </c>
      <c r="R11" s="8">
        <f>'01_молодежная политика'!T26</f>
        <v>0</v>
      </c>
      <c r="S11" s="8">
        <f>'01_молодежная политика'!U26</f>
        <v>304600</v>
      </c>
      <c r="T11" s="8">
        <f>'01_молодежная политика'!V26</f>
        <v>0</v>
      </c>
      <c r="U11" s="8">
        <f>'01_молодежная политика'!W26</f>
        <v>304600</v>
      </c>
      <c r="V11" s="264"/>
      <c r="W11" s="264"/>
    </row>
    <row r="12" spans="1:23" ht="45" x14ac:dyDescent="0.25">
      <c r="A12" s="234">
        <v>2</v>
      </c>
      <c r="B12" s="10" t="s">
        <v>66</v>
      </c>
      <c r="C12" s="5">
        <v>11292173.92</v>
      </c>
      <c r="D12" s="5">
        <v>10174266.710000001</v>
      </c>
      <c r="E12" s="5">
        <f t="shared" ref="E12:E28" si="0">F12+G12</f>
        <v>11663684.33</v>
      </c>
      <c r="F12" s="8">
        <f>'02_летний отдых'!H25</f>
        <v>6285500</v>
      </c>
      <c r="G12" s="8">
        <f>'02_летний отдых'!I25</f>
        <v>5378184.3300000001</v>
      </c>
      <c r="H12" s="8">
        <f>'02_летний отдых'!J25</f>
        <v>689300</v>
      </c>
      <c r="I12" s="8">
        <f>'02_летний отдых'!K25</f>
        <v>4688934.18</v>
      </c>
      <c r="J12" s="8">
        <f>'02_летний отдых'!L25</f>
        <v>1158337.6499999999</v>
      </c>
      <c r="K12" s="8">
        <f>'02_летний отдых'!M25</f>
        <v>0</v>
      </c>
      <c r="L12" s="9">
        <f>'02_летний отдых'!N25</f>
        <v>1069537.6499999999</v>
      </c>
      <c r="M12" s="9">
        <f>'02_летний отдых'!O25</f>
        <v>0</v>
      </c>
      <c r="N12" s="8">
        <f>'02_летний отдых'!P25</f>
        <v>5494300</v>
      </c>
      <c r="O12" s="8">
        <f>'02_летний отдых'!Q25</f>
        <v>4605500</v>
      </c>
      <c r="P12" s="8">
        <f>'02_летний отдых'!R25</f>
        <v>491500</v>
      </c>
      <c r="Q12" s="8">
        <f>'02_летний отдых'!S25</f>
        <v>4114000</v>
      </c>
      <c r="R12" s="8">
        <f>'02_летний отдых'!T25</f>
        <v>5494300</v>
      </c>
      <c r="S12" s="8">
        <f>'02_летний отдых'!U25</f>
        <v>4523600</v>
      </c>
      <c r="T12" s="8">
        <f>'02_летний отдых'!V25</f>
        <v>491500</v>
      </c>
      <c r="U12" s="8">
        <f>'02_летний отдых'!W25</f>
        <v>4032100</v>
      </c>
    </row>
    <row r="13" spans="1:23" s="11" customFormat="1" ht="45" x14ac:dyDescent="0.25">
      <c r="A13" s="234">
        <v>3</v>
      </c>
      <c r="B13" s="10" t="s">
        <v>31</v>
      </c>
      <c r="C13" s="5">
        <v>118775432.84999999</v>
      </c>
      <c r="D13" s="5">
        <v>85248384.469999999</v>
      </c>
      <c r="E13" s="5">
        <f t="shared" si="0"/>
        <v>104186333.69</v>
      </c>
      <c r="F13" s="8">
        <f>'04_ развитие сферы культуры'!H34</f>
        <v>344800</v>
      </c>
      <c r="G13" s="8">
        <f>'04_ развитие сферы культуры'!I34</f>
        <v>103841533.69</v>
      </c>
      <c r="H13" s="8">
        <f>'04_ развитие сферы культуры'!J34</f>
        <v>18151</v>
      </c>
      <c r="I13" s="8">
        <f>'04_ развитие сферы культуры'!K34</f>
        <v>103823382.69</v>
      </c>
      <c r="J13" s="8">
        <f>'04_ развитие сферы культуры'!L34</f>
        <v>35158494.780000001</v>
      </c>
      <c r="K13" s="8">
        <f>'04_ развитие сферы культуры'!M34</f>
        <v>0</v>
      </c>
      <c r="L13" s="9">
        <f>'04_ развитие сферы культуры'!N34</f>
        <v>4000000</v>
      </c>
      <c r="M13" s="9">
        <f>'04_ развитие сферы культуры'!O34</f>
        <v>1964400</v>
      </c>
      <c r="N13" s="8">
        <f>'04_ развитие сферы культуры'!P34</f>
        <v>344800</v>
      </c>
      <c r="O13" s="8">
        <f>'04_ развитие сферы культуры'!Q34</f>
        <v>96010000</v>
      </c>
      <c r="P13" s="8">
        <f>'04_ развитие сферы культуры'!R34</f>
        <v>18151</v>
      </c>
      <c r="Q13" s="8">
        <f>'04_ развитие сферы культуры'!S34</f>
        <v>95991849</v>
      </c>
      <c r="R13" s="8">
        <f>'04_ развитие сферы культуры'!T34</f>
        <v>344800</v>
      </c>
      <c r="S13" s="8">
        <f>'04_ развитие сферы культуры'!U34</f>
        <v>94303100</v>
      </c>
      <c r="T13" s="8">
        <f>'04_ развитие сферы культуры'!V34</f>
        <v>18151</v>
      </c>
      <c r="U13" s="8">
        <f>'04_ развитие сферы культуры'!W34</f>
        <v>94284949</v>
      </c>
    </row>
    <row r="14" spans="1:23" s="11" customFormat="1" ht="45" x14ac:dyDescent="0.25">
      <c r="A14" s="234">
        <v>4</v>
      </c>
      <c r="B14" s="12" t="s">
        <v>32</v>
      </c>
      <c r="C14" s="5">
        <v>3080421</v>
      </c>
      <c r="D14" s="5">
        <v>1904916.4</v>
      </c>
      <c r="E14" s="5">
        <f t="shared" si="0"/>
        <v>1565900</v>
      </c>
      <c r="F14" s="8">
        <f>'05_ развитие муниц.службы'!H17</f>
        <v>0</v>
      </c>
      <c r="G14" s="8">
        <f>'05_ развитие муниц.службы'!I17</f>
        <v>1565900</v>
      </c>
      <c r="H14" s="8">
        <f>'05_ развитие муниц.службы'!J17</f>
        <v>0</v>
      </c>
      <c r="I14" s="8">
        <f>'05_ развитие муниц.службы'!K17</f>
        <v>1565900</v>
      </c>
      <c r="J14" s="8">
        <f>'05_ развитие муниц.службы'!L17</f>
        <v>1122566</v>
      </c>
      <c r="K14" s="8">
        <f>'05_ развитие муниц.службы'!M17</f>
        <v>0</v>
      </c>
      <c r="L14" s="9">
        <f>'05_ развитие муниц.службы'!N17</f>
        <v>0</v>
      </c>
      <c r="M14" s="9">
        <f>'05_ развитие муниц.службы'!O17</f>
        <v>1122566</v>
      </c>
      <c r="N14" s="8">
        <f>'05_ развитие муниц.службы'!P17</f>
        <v>0</v>
      </c>
      <c r="O14" s="8">
        <f>'05_ развитие муниц.службы'!Q17</f>
        <v>1586800</v>
      </c>
      <c r="P14" s="8">
        <f>'05_ развитие муниц.службы'!R17</f>
        <v>0</v>
      </c>
      <c r="Q14" s="8">
        <f>'05_ развитие муниц.службы'!S17</f>
        <v>1586800</v>
      </c>
      <c r="R14" s="8">
        <f>'05_ развитие муниц.службы'!T17</f>
        <v>0</v>
      </c>
      <c r="S14" s="8">
        <f>'05_ развитие муниц.службы'!U17</f>
        <v>1558600</v>
      </c>
      <c r="T14" s="8">
        <f>'05_ развитие муниц.службы'!V17</f>
        <v>0</v>
      </c>
      <c r="U14" s="8">
        <f>'05_ развитие муниц.службы'!W17</f>
        <v>1558600</v>
      </c>
    </row>
    <row r="15" spans="1:23" s="11" customFormat="1" ht="75" x14ac:dyDescent="0.25">
      <c r="A15" s="234">
        <v>5</v>
      </c>
      <c r="B15" s="10" t="s">
        <v>67</v>
      </c>
      <c r="C15" s="5">
        <v>7431315.5700000003</v>
      </c>
      <c r="D15" s="5">
        <v>166518</v>
      </c>
      <c r="E15" s="5">
        <f t="shared" si="0"/>
        <v>0</v>
      </c>
      <c r="F15" s="8">
        <f>'08_ профилактикаТиЭ'!H39</f>
        <v>0</v>
      </c>
      <c r="G15" s="8">
        <f>'08_ профилактикаТиЭ'!I39</f>
        <v>0</v>
      </c>
      <c r="H15" s="8">
        <f>'08_ профилактикаТиЭ'!J39</f>
        <v>0</v>
      </c>
      <c r="I15" s="8">
        <f>'08_ профилактикаТиЭ'!K39</f>
        <v>0</v>
      </c>
      <c r="J15" s="8">
        <f>'08_ профилактикаТиЭ'!L39</f>
        <v>1477629</v>
      </c>
      <c r="K15" s="8">
        <f>'08_ профилактикаТиЭ'!M39</f>
        <v>0</v>
      </c>
      <c r="L15" s="9">
        <f>'08_ профилактикаТиЭ'!N39</f>
        <v>536800</v>
      </c>
      <c r="M15" s="9">
        <f>'08_ профилактикаТиЭ'!O39</f>
        <v>0</v>
      </c>
      <c r="N15" s="8">
        <f>'08_ профилактикаТиЭ'!P39</f>
        <v>0</v>
      </c>
      <c r="O15" s="8">
        <f>'08_ профилактикаТиЭ'!Q39</f>
        <v>90000</v>
      </c>
      <c r="P15" s="8">
        <f>'08_ профилактикаТиЭ'!R39</f>
        <v>0</v>
      </c>
      <c r="Q15" s="8">
        <f>'08_ профилактикаТиЭ'!S39</f>
        <v>90000</v>
      </c>
      <c r="R15" s="8">
        <f>'08_ профилактикаТиЭ'!T39</f>
        <v>0</v>
      </c>
      <c r="S15" s="8">
        <f>'08_ профилактикаТиЭ'!U39</f>
        <v>88400</v>
      </c>
      <c r="T15" s="8">
        <f>'08_ профилактикаТиЭ'!V39</f>
        <v>0</v>
      </c>
      <c r="U15" s="8">
        <f>'08_ профилактикаТиЭ'!W39</f>
        <v>88400</v>
      </c>
    </row>
    <row r="16" spans="1:23" s="11" customFormat="1" ht="60" x14ac:dyDescent="0.25">
      <c r="A16" s="234">
        <v>6</v>
      </c>
      <c r="B16" s="10" t="s">
        <v>68</v>
      </c>
      <c r="C16" s="5">
        <v>2014221.05</v>
      </c>
      <c r="D16" s="5">
        <v>1133559.77</v>
      </c>
      <c r="E16" s="5">
        <f t="shared" si="0"/>
        <v>5082442.1100000003</v>
      </c>
      <c r="F16" s="8">
        <f>'09_ поддержка СМП'!C21</f>
        <v>4828600</v>
      </c>
      <c r="G16" s="8">
        <f>'09_ поддержка СМП'!D21</f>
        <v>253842.11000000002</v>
      </c>
      <c r="H16" s="8">
        <f>'09_ поддержка СМП'!E21</f>
        <v>253842.11000000002</v>
      </c>
      <c r="I16" s="8">
        <f>'09_ поддержка СМП'!F21</f>
        <v>0</v>
      </c>
      <c r="J16" s="8">
        <f>'09_ поддержка СМП'!G21</f>
        <v>10000</v>
      </c>
      <c r="K16" s="8">
        <f>'09_ поддержка СМП'!H21</f>
        <v>0</v>
      </c>
      <c r="L16" s="9">
        <f>'09_ поддержка СМП'!I21</f>
        <v>10000</v>
      </c>
      <c r="M16" s="9">
        <f>'09_ поддержка СМП'!J21</f>
        <v>0</v>
      </c>
      <c r="N16" s="8">
        <f>'09_ поддержка СМП'!K21</f>
        <v>4828600</v>
      </c>
      <c r="O16" s="8">
        <f>'09_ поддержка СМП'!L21</f>
        <v>253842.11000000002</v>
      </c>
      <c r="P16" s="8">
        <f>'09_ поддержка СМП'!M21</f>
        <v>253842.11000000002</v>
      </c>
      <c r="Q16" s="8">
        <f>'09_ поддержка СМП'!N21</f>
        <v>0</v>
      </c>
      <c r="R16" s="8">
        <f>'09_ поддержка СМП'!O21</f>
        <v>4828600</v>
      </c>
      <c r="S16" s="8">
        <f>'09_ поддержка СМП'!P21</f>
        <v>253842.11000000002</v>
      </c>
      <c r="T16" s="8">
        <f>'09_ поддержка СМП'!Q21</f>
        <v>253842.11000000002</v>
      </c>
      <c r="U16" s="8">
        <f>'09_ поддержка СМП'!R21</f>
        <v>0</v>
      </c>
    </row>
    <row r="17" spans="1:21" ht="45" x14ac:dyDescent="0.25">
      <c r="A17" s="234">
        <v>7</v>
      </c>
      <c r="B17" s="10" t="s">
        <v>36</v>
      </c>
      <c r="C17" s="5">
        <v>16771549.6</v>
      </c>
      <c r="D17" s="5">
        <v>9207023.5800000001</v>
      </c>
      <c r="E17" s="5">
        <f t="shared" si="0"/>
        <v>17312275.68</v>
      </c>
      <c r="F17" s="8">
        <f>'10_градостроительная деят'!G21</f>
        <v>5977800</v>
      </c>
      <c r="G17" s="8">
        <f>'10_градостроительная деят'!H21</f>
        <v>11334475.680000002</v>
      </c>
      <c r="H17" s="8">
        <f>'10_градостроительная деят'!I21</f>
        <v>314621.05</v>
      </c>
      <c r="I17" s="8">
        <f>'10_градостроительная деят'!J21</f>
        <v>11019854.630000001</v>
      </c>
      <c r="J17" s="8">
        <f>'10_градостроительная деят'!K21</f>
        <v>515634.05</v>
      </c>
      <c r="K17" s="8">
        <f>'10_градостроительная деят'!L21</f>
        <v>0</v>
      </c>
      <c r="L17" s="9">
        <f>'10_градостроительная деят'!M21</f>
        <v>300000</v>
      </c>
      <c r="M17" s="9">
        <f>'10_градостроительная деят'!N21</f>
        <v>0</v>
      </c>
      <c r="N17" s="8">
        <f>'10_градостроительная деят'!O21</f>
        <v>5977800</v>
      </c>
      <c r="O17" s="8">
        <f>'10_градостроительная деят'!P21</f>
        <v>8273200</v>
      </c>
      <c r="P17" s="8">
        <f>'10_градостроительная деят'!Q21</f>
        <v>314621.05</v>
      </c>
      <c r="Q17" s="8">
        <f>'10_градостроительная деят'!R21</f>
        <v>7958578.9500000002</v>
      </c>
      <c r="R17" s="8">
        <f>'10_градостроительная деят'!S21</f>
        <v>5977800</v>
      </c>
      <c r="S17" s="8">
        <f>'10_градостроительная деят'!T21</f>
        <v>8126100</v>
      </c>
      <c r="T17" s="8">
        <f>'10_градостроительная деят'!U21</f>
        <v>314621.05</v>
      </c>
      <c r="U17" s="8">
        <f>'10_градостроительная деят'!V21</f>
        <v>7811478.9500000002</v>
      </c>
    </row>
    <row r="18" spans="1:21" ht="45" x14ac:dyDescent="0.25">
      <c r="A18" s="234">
        <v>8</v>
      </c>
      <c r="B18" s="10" t="s">
        <v>69</v>
      </c>
      <c r="C18" s="5">
        <v>40000</v>
      </c>
      <c r="D18" s="5">
        <v>0</v>
      </c>
      <c r="E18" s="5">
        <f t="shared" si="0"/>
        <v>32400</v>
      </c>
      <c r="F18" s="8">
        <f>'11_проводействие коррупц'!H16</f>
        <v>0</v>
      </c>
      <c r="G18" s="8">
        <f>'11_проводействие коррупц'!I16</f>
        <v>32400</v>
      </c>
      <c r="H18" s="8">
        <f>'11_проводействие коррупц'!J16</f>
        <v>0</v>
      </c>
      <c r="I18" s="8">
        <f>'11_проводействие коррупц'!K16</f>
        <v>32400</v>
      </c>
      <c r="J18" s="8">
        <f>'11_проводействие коррупц'!L16</f>
        <v>348600</v>
      </c>
      <c r="K18" s="8">
        <f>'11_проводействие коррупц'!M16</f>
        <v>0</v>
      </c>
      <c r="L18" s="9">
        <f>'11_проводействие коррупц'!N16</f>
        <v>300000</v>
      </c>
      <c r="M18" s="9">
        <f>'11_проводействие коррупц'!O16</f>
        <v>0</v>
      </c>
      <c r="N18" s="8">
        <f>'11_проводействие коррупц'!P16</f>
        <v>0</v>
      </c>
      <c r="O18" s="8">
        <f>'11_проводействие коррупц'!Q16</f>
        <v>32800</v>
      </c>
      <c r="P18" s="8">
        <f>'11_проводействие коррупц'!R16</f>
        <v>0</v>
      </c>
      <c r="Q18" s="8">
        <f>'11_проводействие коррупц'!S16</f>
        <v>32800</v>
      </c>
      <c r="R18" s="8">
        <f>'11_проводействие коррупц'!T16</f>
        <v>0</v>
      </c>
      <c r="S18" s="8">
        <f>'11_проводействие коррупц'!U16</f>
        <v>32200</v>
      </c>
      <c r="T18" s="8">
        <f>'11_проводействие коррупц'!V16</f>
        <v>0</v>
      </c>
      <c r="U18" s="8">
        <f>'11_проводействие коррупц'!W16</f>
        <v>32200</v>
      </c>
    </row>
    <row r="19" spans="1:21" ht="92.25" customHeight="1" x14ac:dyDescent="0.25">
      <c r="A19" s="234">
        <v>9</v>
      </c>
      <c r="B19" s="10" t="s">
        <v>70</v>
      </c>
      <c r="C19" s="5">
        <v>3697959.09</v>
      </c>
      <c r="D19" s="5">
        <v>1880657.63</v>
      </c>
      <c r="E19" s="5">
        <f t="shared" si="0"/>
        <v>2880739.7800000003</v>
      </c>
      <c r="F19" s="8">
        <f>'13_ управление имуществом'!F35</f>
        <v>0</v>
      </c>
      <c r="G19" s="8">
        <f>'13_ управление имуществом'!G35</f>
        <v>2880739.7800000003</v>
      </c>
      <c r="H19" s="8">
        <f>'13_ управление имуществом'!H35</f>
        <v>0</v>
      </c>
      <c r="I19" s="8">
        <f>'13_ управление имуществом'!I35</f>
        <v>2880739.7800000003</v>
      </c>
      <c r="J19" s="8">
        <f>'13_ управление имуществом'!J35</f>
        <v>13155856.180000002</v>
      </c>
      <c r="K19" s="8">
        <f>'13_ управление имуществом'!K35</f>
        <v>0</v>
      </c>
      <c r="L19" s="9">
        <f>'13_ управление имуществом'!L35</f>
        <v>172800</v>
      </c>
      <c r="M19" s="9">
        <f>'13_ управление имуществом'!M35</f>
        <v>1162051.79</v>
      </c>
      <c r="N19" s="8">
        <f>'13_ управление имуществом'!N35</f>
        <v>0</v>
      </c>
      <c r="O19" s="8">
        <f>'13_ управление имуществом'!O35</f>
        <v>2636800</v>
      </c>
      <c r="P19" s="8">
        <f>'13_ управление имуществом'!P35</f>
        <v>0</v>
      </c>
      <c r="Q19" s="8">
        <f>'13_ управление имуществом'!Q35</f>
        <v>2636800</v>
      </c>
      <c r="R19" s="8">
        <f>'13_ управление имуществом'!R35</f>
        <v>0</v>
      </c>
      <c r="S19" s="8">
        <f>'13_ управление имуществом'!S35</f>
        <v>2589900</v>
      </c>
      <c r="T19" s="8">
        <f>'13_ управление имуществом'!T35</f>
        <v>0</v>
      </c>
      <c r="U19" s="8">
        <f>'13_ управление имуществом'!U35</f>
        <v>2589900</v>
      </c>
    </row>
    <row r="20" spans="1:21" s="11" customFormat="1" ht="30" x14ac:dyDescent="0.25">
      <c r="A20" s="234">
        <v>10</v>
      </c>
      <c r="B20" s="10" t="s">
        <v>37</v>
      </c>
      <c r="C20" s="5">
        <v>49838720.82</v>
      </c>
      <c r="D20" s="5">
        <v>25047051.280000001</v>
      </c>
      <c r="E20" s="5">
        <f t="shared" si="0"/>
        <v>31437500</v>
      </c>
      <c r="F20" s="8">
        <f>'15_транспортная'!H21</f>
        <v>0</v>
      </c>
      <c r="G20" s="8">
        <f>'15_транспортная'!I21</f>
        <v>31437500</v>
      </c>
      <c r="H20" s="8">
        <f>'15_транспортная'!J21</f>
        <v>0</v>
      </c>
      <c r="I20" s="8">
        <f>'15_транспортная'!K21</f>
        <v>31437500</v>
      </c>
      <c r="J20" s="8">
        <f>'15_транспортная'!L21</f>
        <v>60763259.839999996</v>
      </c>
      <c r="K20" s="8">
        <f>'15_транспортная'!M21</f>
        <v>0</v>
      </c>
      <c r="L20" s="9">
        <f>'15_транспортная'!N21</f>
        <v>4130000</v>
      </c>
      <c r="M20" s="9">
        <f>'15_транспортная'!O21</f>
        <v>10348259.839999996</v>
      </c>
      <c r="N20" s="8">
        <f>'15_транспортная'!P21</f>
        <v>0</v>
      </c>
      <c r="O20" s="8">
        <f>'15_транспортная'!Q21</f>
        <v>31857700</v>
      </c>
      <c r="P20" s="8">
        <f>'15_транспортная'!R21</f>
        <v>0</v>
      </c>
      <c r="Q20" s="8">
        <f>'15_транспортная'!S21</f>
        <v>31857700</v>
      </c>
      <c r="R20" s="8">
        <f>'15_транспортная'!T21</f>
        <v>0</v>
      </c>
      <c r="S20" s="8">
        <f>'15_транспортная'!U21</f>
        <v>31291300</v>
      </c>
      <c r="T20" s="8">
        <f>'15_транспортная'!V21</f>
        <v>0</v>
      </c>
      <c r="U20" s="8">
        <f>'15_транспортная'!W21</f>
        <v>31291300</v>
      </c>
    </row>
    <row r="21" spans="1:21" s="11" customFormat="1" ht="60" x14ac:dyDescent="0.25">
      <c r="A21" s="234">
        <v>11</v>
      </c>
      <c r="B21" s="10" t="s">
        <v>153</v>
      </c>
      <c r="C21" s="5">
        <v>252669960.28</v>
      </c>
      <c r="D21" s="5">
        <v>115444455.01000001</v>
      </c>
      <c r="E21" s="5">
        <f t="shared" si="0"/>
        <v>110005829.24999999</v>
      </c>
      <c r="F21" s="8">
        <f>'17_ развитие физ.и спорта'!H21</f>
        <v>431500</v>
      </c>
      <c r="G21" s="8">
        <f>'17_ развитие физ.и спорта'!I21</f>
        <v>109574329.24999999</v>
      </c>
      <c r="H21" s="8">
        <f>'17_ развитие физ.и спорта'!J21</f>
        <v>22710</v>
      </c>
      <c r="I21" s="8">
        <f>'17_ развитие физ.и спорта'!K21</f>
        <v>109551619.24999999</v>
      </c>
      <c r="J21" s="8">
        <f>'17_ развитие физ.и спорта'!L21</f>
        <v>21033861.939999998</v>
      </c>
      <c r="K21" s="8">
        <f>'17_ развитие физ.и спорта'!M21</f>
        <v>0</v>
      </c>
      <c r="L21" s="9">
        <f>'17_ развитие физ.и спорта'!N21</f>
        <v>8000000</v>
      </c>
      <c r="M21" s="9">
        <f>'17_ развитие физ.и спорта'!O21</f>
        <v>300000</v>
      </c>
      <c r="N21" s="8">
        <f>'17_ развитие физ.и спорта'!P21</f>
        <v>431500</v>
      </c>
      <c r="O21" s="8">
        <f>'17_ развитие физ.и спорта'!Q21</f>
        <v>94167600</v>
      </c>
      <c r="P21" s="8">
        <f>'17_ развитие физ.и спорта'!R21</f>
        <v>22710</v>
      </c>
      <c r="Q21" s="8">
        <f>'17_ развитие физ.и спорта'!S21</f>
        <v>94144890</v>
      </c>
      <c r="R21" s="8">
        <f>'17_ развитие физ.и спорта'!T21</f>
        <v>447100</v>
      </c>
      <c r="S21" s="8">
        <f>'17_ развитие физ.и спорта'!U21</f>
        <v>92493400</v>
      </c>
      <c r="T21" s="8">
        <f>'17_ развитие физ.и спорта'!V21</f>
        <v>22710</v>
      </c>
      <c r="U21" s="8">
        <f>'17_ развитие физ.и спорта'!W21</f>
        <v>92470690</v>
      </c>
    </row>
    <row r="22" spans="1:21" s="11" customFormat="1" ht="45" x14ac:dyDescent="0.25">
      <c r="A22" s="234">
        <v>12</v>
      </c>
      <c r="B22" s="10" t="s">
        <v>35</v>
      </c>
      <c r="C22" s="5">
        <v>50000</v>
      </c>
      <c r="D22" s="5">
        <v>0</v>
      </c>
      <c r="E22" s="5">
        <f t="shared" si="0"/>
        <v>40500</v>
      </c>
      <c r="F22" s="8">
        <f>'19_поддержка СОНО'!H16</f>
        <v>0</v>
      </c>
      <c r="G22" s="8">
        <f>'19_поддержка СОНО'!I16</f>
        <v>40500</v>
      </c>
      <c r="H22" s="8">
        <f>'19_поддержка СОНО'!J16</f>
        <v>0</v>
      </c>
      <c r="I22" s="8">
        <f>'19_поддержка СОНО'!K16</f>
        <v>40500</v>
      </c>
      <c r="J22" s="8">
        <f>'19_поддержка СОНО'!L16</f>
        <v>59500</v>
      </c>
      <c r="K22" s="8">
        <f>'19_поддержка СОНО'!M16</f>
        <v>0</v>
      </c>
      <c r="L22" s="9">
        <f>'19_поддержка СОНО'!N16</f>
        <v>0</v>
      </c>
      <c r="M22" s="9">
        <f>'19_поддержка СОНО'!O16</f>
        <v>59500</v>
      </c>
      <c r="N22" s="8">
        <f>'19_поддержка СОНО'!P16</f>
        <v>0</v>
      </c>
      <c r="O22" s="8">
        <f>'19_поддержка СОНО'!Q16</f>
        <v>41000</v>
      </c>
      <c r="P22" s="8">
        <f>'19_поддержка СОНО'!R16</f>
        <v>0</v>
      </c>
      <c r="Q22" s="8">
        <f>'19_поддержка СОНО'!S16</f>
        <v>41000</v>
      </c>
      <c r="R22" s="8">
        <f>'19_поддержка СОНО'!T16</f>
        <v>0</v>
      </c>
      <c r="S22" s="8">
        <f>'19_поддержка СОНО'!U16</f>
        <v>40300</v>
      </c>
      <c r="T22" s="8">
        <f>'19_поддержка СОНО'!V16</f>
        <v>0</v>
      </c>
      <c r="U22" s="8">
        <f>'19_поддержка СОНО'!W16</f>
        <v>40300</v>
      </c>
    </row>
    <row r="23" spans="1:21" s="11" customFormat="1" ht="60" x14ac:dyDescent="0.25">
      <c r="A23" s="234">
        <v>13</v>
      </c>
      <c r="B23" s="10" t="s">
        <v>71</v>
      </c>
      <c r="C23" s="5">
        <v>60927960.75</v>
      </c>
      <c r="D23" s="5">
        <v>35436935.109999999</v>
      </c>
      <c r="E23" s="5">
        <f t="shared" si="0"/>
        <v>33245400</v>
      </c>
      <c r="F23" s="8">
        <f>'20_ развитие ЖКХ'!H32</f>
        <v>10538200</v>
      </c>
      <c r="G23" s="8">
        <f>'20_ развитие ЖКХ'!I32</f>
        <v>22707200</v>
      </c>
      <c r="H23" s="8">
        <f>'20_ развитие ЖКХ'!J32</f>
        <v>1115500</v>
      </c>
      <c r="I23" s="8">
        <f>'20_ развитие ЖКХ'!K32</f>
        <v>21591700</v>
      </c>
      <c r="J23" s="8">
        <f>'20_ развитие ЖКХ'!L32</f>
        <v>12567435.09</v>
      </c>
      <c r="K23" s="8">
        <f>'20_ развитие ЖКХ'!M32</f>
        <v>0</v>
      </c>
      <c r="L23" s="9">
        <f>'20_ развитие ЖКХ'!N32</f>
        <v>0</v>
      </c>
      <c r="M23" s="9">
        <f>'20_ развитие ЖКХ'!O32</f>
        <v>11067435.09</v>
      </c>
      <c r="N23" s="8">
        <f>'20_ развитие ЖКХ'!P32</f>
        <v>8566400</v>
      </c>
      <c r="O23" s="8">
        <f>'20_ развитие ЖКХ'!Q32</f>
        <v>23010700</v>
      </c>
      <c r="P23" s="8">
        <f>'20_ развитие ЖКХ'!R32</f>
        <v>931855.56</v>
      </c>
      <c r="Q23" s="8">
        <f>'20_ развитие ЖКХ'!S32</f>
        <v>22078844.440000001</v>
      </c>
      <c r="R23" s="8">
        <f>'20_ развитие ЖКХ'!T32</f>
        <v>8581000</v>
      </c>
      <c r="S23" s="8">
        <f>'20_ развитие ЖКХ'!U32</f>
        <v>22601600</v>
      </c>
      <c r="T23" s="8">
        <f>'20_ развитие ЖКХ'!V32</f>
        <v>933477.78</v>
      </c>
      <c r="U23" s="8">
        <f>'20_ развитие ЖКХ'!W32</f>
        <v>21668122.220000003</v>
      </c>
    </row>
    <row r="24" spans="1:21" s="11" customFormat="1" ht="45" x14ac:dyDescent="0.25">
      <c r="A24" s="234">
        <v>14</v>
      </c>
      <c r="B24" s="10" t="s">
        <v>72</v>
      </c>
      <c r="C24" s="5">
        <v>15667230.85</v>
      </c>
      <c r="D24" s="5">
        <v>9480827.1899999995</v>
      </c>
      <c r="E24" s="5">
        <f t="shared" si="0"/>
        <v>12897162.130000001</v>
      </c>
      <c r="F24" s="8">
        <f>'22_ ОБЖ'!G83</f>
        <v>513300</v>
      </c>
      <c r="G24" s="8">
        <f>'22_ ОБЖ'!H83</f>
        <v>12383862.130000001</v>
      </c>
      <c r="H24" s="8">
        <f>'22_ ОБЖ'!I83</f>
        <v>128325</v>
      </c>
      <c r="I24" s="8">
        <f>'22_ ОБЖ'!J83</f>
        <v>12255537.130000001</v>
      </c>
      <c r="J24" s="8">
        <f>'22_ ОБЖ'!K83</f>
        <v>8749419.4486999996</v>
      </c>
      <c r="K24" s="8">
        <f>'22_ ОБЖ'!L83</f>
        <v>0</v>
      </c>
      <c r="L24" s="9">
        <f>'22_ ОБЖ'!M83</f>
        <v>2050000</v>
      </c>
      <c r="M24" s="9">
        <f>'22_ ОБЖ'!N83</f>
        <v>2545332</v>
      </c>
      <c r="N24" s="8">
        <f>'22_ ОБЖ'!O83</f>
        <v>54900</v>
      </c>
      <c r="O24" s="8">
        <f>'22_ ОБЖ'!P83</f>
        <v>10831899.9987</v>
      </c>
      <c r="P24" s="8">
        <f>'22_ ОБЖ'!Q83</f>
        <v>13725</v>
      </c>
      <c r="Q24" s="8">
        <f>'22_ ОБЖ'!R83</f>
        <v>10818174.9987</v>
      </c>
      <c r="R24" s="8">
        <f>'22_ ОБЖ'!S83</f>
        <v>494800</v>
      </c>
      <c r="S24" s="8">
        <f>'22_ ОБЖ'!T83</f>
        <v>10639299.9987</v>
      </c>
      <c r="T24" s="8">
        <f>'22_ ОБЖ'!U83</f>
        <v>123700</v>
      </c>
      <c r="U24" s="8">
        <f>'22_ ОБЖ'!V83</f>
        <v>10515599.998700002</v>
      </c>
    </row>
    <row r="25" spans="1:21" s="11" customFormat="1" ht="45" x14ac:dyDescent="0.25">
      <c r="A25" s="234">
        <v>15</v>
      </c>
      <c r="B25" s="10" t="s">
        <v>34</v>
      </c>
      <c r="C25" s="5">
        <v>3096891.04</v>
      </c>
      <c r="D25" s="5">
        <v>1337067.97</v>
      </c>
      <c r="E25" s="5">
        <f t="shared" si="0"/>
        <v>2642400</v>
      </c>
      <c r="F25" s="8">
        <f>'24_ эколог.без-ть)'!H21</f>
        <v>526200</v>
      </c>
      <c r="G25" s="8">
        <f>'24_ эколог.без-ть)'!I21</f>
        <v>2116200</v>
      </c>
      <c r="H25" s="8">
        <f>'24_ эколог.без-ть)'!J21</f>
        <v>0</v>
      </c>
      <c r="I25" s="8">
        <f>'24_ эколог.без-ть)'!K21</f>
        <v>2116200</v>
      </c>
      <c r="J25" s="8">
        <f>'24_ эколог.без-ть)'!L21</f>
        <v>2981502.6182599999</v>
      </c>
      <c r="K25" s="8">
        <f>'24_ эколог.без-ть)'!M21</f>
        <v>0</v>
      </c>
      <c r="L25" s="9">
        <f>'24_ эколог.без-ть)'!N21</f>
        <v>1271345.72</v>
      </c>
      <c r="M25" s="9">
        <f>'24_ эколог.без-ть)'!O21</f>
        <v>1154778.3999999999</v>
      </c>
      <c r="N25" s="8">
        <f>'24_ эколог.без-ть)'!P21</f>
        <v>526200</v>
      </c>
      <c r="O25" s="8">
        <f>'24_ эколог.без-ть)'!Q21</f>
        <v>2144500</v>
      </c>
      <c r="P25" s="8">
        <f>'24_ эколог.без-ть)'!R21</f>
        <v>0</v>
      </c>
      <c r="Q25" s="8">
        <f>'24_ эколог.без-ть)'!S21</f>
        <v>2144500</v>
      </c>
      <c r="R25" s="8">
        <f>'24_ эколог.без-ть)'!T21</f>
        <v>526200</v>
      </c>
      <c r="S25" s="8">
        <f>'24_ эколог.без-ть)'!U21</f>
        <v>2106400</v>
      </c>
      <c r="T25" s="8">
        <f>'24_ эколог.без-ть)'!V21</f>
        <v>0</v>
      </c>
      <c r="U25" s="8">
        <f>'24_ эколог.без-ть)'!W21</f>
        <v>2106400</v>
      </c>
    </row>
    <row r="26" spans="1:21" s="11" customFormat="1" ht="30" x14ac:dyDescent="0.25">
      <c r="A26" s="234">
        <v>16</v>
      </c>
      <c r="B26" s="7" t="s">
        <v>39</v>
      </c>
      <c r="C26" s="5">
        <v>34778331.359999999</v>
      </c>
      <c r="D26" s="5">
        <v>22724747.050000001</v>
      </c>
      <c r="E26" s="5">
        <f t="shared" si="0"/>
        <v>30157988.609999999</v>
      </c>
      <c r="F26" s="8">
        <f>'27_ информац.общество'!H30</f>
        <v>20342000</v>
      </c>
      <c r="G26" s="8">
        <f>'27_ информац.общество'!I30</f>
        <v>9815988.6099999994</v>
      </c>
      <c r="H26" s="8">
        <f>'27_ информац.общество'!J30</f>
        <v>1070631.58</v>
      </c>
      <c r="I26" s="8">
        <f>'27_ информац.общество'!K30</f>
        <v>8745357.0299999993</v>
      </c>
      <c r="J26" s="8">
        <f>'27_ информац.общество'!L30</f>
        <v>7016485.5899999999</v>
      </c>
      <c r="K26" s="8">
        <f>'27_ информац.общество'!M30</f>
        <v>0</v>
      </c>
      <c r="L26" s="9">
        <f>'27_ информац.общество'!N30</f>
        <v>832400</v>
      </c>
      <c r="M26" s="9">
        <f>'27_ информац.общество'!O30</f>
        <v>1167600</v>
      </c>
      <c r="N26" s="8">
        <f>'27_ информац.общество'!P30</f>
        <v>20342000</v>
      </c>
      <c r="O26" s="8">
        <f>'27_ информац.общество'!Q30</f>
        <v>9010700</v>
      </c>
      <c r="P26" s="8">
        <f>'27_ информац.общество'!R30</f>
        <v>1070631.58</v>
      </c>
      <c r="Q26" s="8">
        <f>'27_ информац.общество'!S30</f>
        <v>2599499.48</v>
      </c>
      <c r="R26" s="8">
        <f>'27_ информац.общество'!T30</f>
        <v>20342000</v>
      </c>
      <c r="S26" s="8">
        <f>'27_ информац.общество'!U30</f>
        <v>8850500</v>
      </c>
      <c r="T26" s="8">
        <f>'27_ информац.общество'!V30</f>
        <v>1070631.58</v>
      </c>
      <c r="U26" s="8">
        <f>'27_ информац.общество'!W30</f>
        <v>2599499.48</v>
      </c>
    </row>
    <row r="27" spans="1:21" s="11" customFormat="1" ht="46.5" customHeight="1" x14ac:dyDescent="0.25">
      <c r="A27" s="234">
        <v>17</v>
      </c>
      <c r="B27" s="10" t="s">
        <v>30</v>
      </c>
      <c r="C27" s="5">
        <v>616466055.97000003</v>
      </c>
      <c r="D27" s="5">
        <v>421013343.91000003</v>
      </c>
      <c r="E27" s="5">
        <f t="shared" si="0"/>
        <v>630392267.58000004</v>
      </c>
      <c r="F27" s="8">
        <f>'28_ развитие образования'!H63</f>
        <v>540839500</v>
      </c>
      <c r="G27" s="8">
        <f>'28_ развитие образования'!I63</f>
        <v>89552767.579999998</v>
      </c>
      <c r="H27" s="8">
        <f>'28_ развитие образования'!J63</f>
        <v>0</v>
      </c>
      <c r="I27" s="8">
        <f>'28_ развитие образования'!K63</f>
        <v>89552767.579999998</v>
      </c>
      <c r="J27" s="8">
        <f>'28_ развитие образования'!L63</f>
        <v>77528828.789999992</v>
      </c>
      <c r="K27" s="8">
        <f>'28_ развитие образования'!M46</f>
        <v>0</v>
      </c>
      <c r="L27" s="9">
        <f>'28_ развитие образования'!N63</f>
        <v>4000000</v>
      </c>
      <c r="M27" s="9">
        <f>'28_ развитие образования'!O63</f>
        <v>0</v>
      </c>
      <c r="N27" s="8">
        <f>'28_ развитие образования'!P63</f>
        <v>536870500</v>
      </c>
      <c r="O27" s="8">
        <f>'28_ развитие образования'!Q63</f>
        <v>87229600</v>
      </c>
      <c r="P27" s="8">
        <f>'28_ развитие образования'!R63</f>
        <v>0</v>
      </c>
      <c r="Q27" s="8">
        <f>'28_ развитие образования'!S63</f>
        <v>87229600</v>
      </c>
      <c r="R27" s="8">
        <f>'28_ развитие образования'!T63</f>
        <v>536870500</v>
      </c>
      <c r="S27" s="8">
        <f>'28_ развитие образования'!U63</f>
        <v>85678800.000000015</v>
      </c>
      <c r="T27" s="8">
        <f>'28_ развитие образования'!V63</f>
        <v>0</v>
      </c>
      <c r="U27" s="8">
        <f>'28_ развитие образования'!W63</f>
        <v>85678800.000000015</v>
      </c>
    </row>
    <row r="28" spans="1:21" s="11" customFormat="1" ht="75" x14ac:dyDescent="0.25">
      <c r="A28" s="234">
        <v>18</v>
      </c>
      <c r="B28" s="38" t="s">
        <v>73</v>
      </c>
      <c r="C28" s="5">
        <v>0</v>
      </c>
      <c r="D28" s="5">
        <v>0</v>
      </c>
      <c r="E28" s="5">
        <f t="shared" si="0"/>
        <v>0</v>
      </c>
      <c r="F28" s="8">
        <f>'33_ доступ.маломобильных'!H16</f>
        <v>0</v>
      </c>
      <c r="G28" s="8">
        <f>'33_ доступ.маломобильных'!I16</f>
        <v>0</v>
      </c>
      <c r="H28" s="8">
        <f>'33_ доступ.маломобильных'!J16</f>
        <v>0</v>
      </c>
      <c r="I28" s="8">
        <f>'33_ доступ.маломобильных'!K16</f>
        <v>0</v>
      </c>
      <c r="J28" s="8">
        <f>'33_ доступ.маломобильных'!L16</f>
        <v>2928353</v>
      </c>
      <c r="K28" s="8">
        <f>'33_ доступ.маломобильных'!M16</f>
        <v>0</v>
      </c>
      <c r="L28" s="9">
        <f>'33_ доступ.маломобильных'!N16</f>
        <v>63000</v>
      </c>
      <c r="M28" s="9">
        <f>'33_ доступ.маломобильных'!O16</f>
        <v>0</v>
      </c>
      <c r="N28" s="8">
        <f>'33_ доступ.маломобильных'!P16</f>
        <v>0</v>
      </c>
      <c r="O28" s="8">
        <f>'33_ доступ.маломобильных'!Q16</f>
        <v>0</v>
      </c>
      <c r="P28" s="8">
        <f>'33_ доступ.маломобильных'!R16</f>
        <v>0</v>
      </c>
      <c r="Q28" s="8">
        <f>'33_ доступ.маломобильных'!S16</f>
        <v>0</v>
      </c>
      <c r="R28" s="8">
        <f>'33_ доступ.маломобильных'!T16</f>
        <v>0</v>
      </c>
      <c r="S28" s="8">
        <f>'33_ доступ.маломобильных'!U16</f>
        <v>0</v>
      </c>
      <c r="T28" s="8">
        <f>'33_ доступ.маломобильных'!V16</f>
        <v>0</v>
      </c>
      <c r="U28" s="8">
        <f>'33_ доступ.маломобильных'!W16</f>
        <v>0</v>
      </c>
    </row>
  </sheetData>
  <customSheetViews>
    <customSheetView guid="{F55D2626-B25D-4865-88D7-A4040A583D45}" showPageBreaks="1" fitToPage="1" hiddenRows="1">
      <pane xSplit="2" ySplit="9" topLeftCell="F10" activePane="bottomRight" state="frozen"/>
      <selection pane="bottomRight" activeCell="L5" sqref="L5:M9"/>
      <pageMargins left="0.70866141732283472" right="0.70866141732283472" top="0.74803149606299213" bottom="0.74803149606299213" header="0.31496062992125984" footer="0.31496062992125984"/>
      <pageSetup paperSize="9" scale="30" fitToHeight="2" orientation="landscape" horizontalDpi="180" verticalDpi="180" r:id="rId1"/>
    </customSheetView>
    <customSheetView guid="{9D6C8421-31F4-449D-B427-1D13044E970D}" showPageBreaks="1" fitToPage="1" topLeftCell="E1">
      <pane ySplit="10" topLeftCell="A20" activePane="bottomLeft" state="frozen"/>
      <selection pane="bottomLeft" activeCell="G53" sqref="G53"/>
      <pageMargins left="0.70866141732283472" right="0.70866141732283472" top="0.74803149606299213" bottom="0.74803149606299213" header="0.31496062992125984" footer="0.31496062992125984"/>
      <pageSetup paperSize="9" scale="30" fitToHeight="2" orientation="landscape" horizontalDpi="180" verticalDpi="180" r:id="rId2"/>
    </customSheetView>
    <customSheetView guid="{CCAC52F4-1AE6-4B0C-B39F-86F6AB8E32E1}" showPageBreaks="1" fitToPage="1">
      <pane ySplit="10" topLeftCell="A11" activePane="bottomLeft" state="frozen"/>
      <selection pane="bottomLeft" activeCell="C5" sqref="C5:E9"/>
      <pageMargins left="0.70866141732283472" right="0.70866141732283472" top="0.74803149606299213" bottom="0.74803149606299213" header="0.31496062992125984" footer="0.31496062992125984"/>
      <pageSetup paperSize="9" scale="30" fitToHeight="2" orientation="landscape" horizontalDpi="180" verticalDpi="180" r:id="rId3"/>
    </customSheetView>
    <customSheetView guid="{8286488C-3E2A-4969-AFC8-11C0D17DBFA2}" scale="80" showPageBreaks="1" printArea="1">
      <pane ySplit="10" topLeftCell="A41" activePane="bottomLeft" state="frozen"/>
      <selection pane="bottomLeft" activeCell="N52" sqref="N52"/>
      <pageMargins left="0.31496062992125984" right="0.31496062992125984" top="0.35433070866141736" bottom="0.35433070866141736" header="0.31496062992125984" footer="0.31496062992125984"/>
      <pageSetup paperSize="9" scale="42" orientation="portrait" verticalDpi="180" r:id="rId4"/>
    </customSheetView>
    <customSheetView guid="{9FDA873B-3790-49DF-BB2A-AB29A0E400EE}">
      <pane ySplit="10" topLeftCell="A11" activePane="bottomLeft" state="frozen"/>
      <selection pane="bottomLeft" activeCell="B13" sqref="B13"/>
      <pageMargins left="0.31496062992125984" right="0.31496062992125984" top="0.35433070866141736" bottom="0.35433070866141736" header="0.31496062992125984" footer="0.31496062992125984"/>
      <pageSetup paperSize="9" scale="37" orientation="landscape" verticalDpi="180" r:id="rId5"/>
    </customSheetView>
    <customSheetView guid="{A8921178-F68B-4A7A-94A0-4276A60BD3E0}" scale="80" showPageBreaks="1" printArea="1">
      <pane ySplit="10" topLeftCell="A38" activePane="bottomLeft" state="frozen"/>
      <selection pane="bottomLeft" activeCell="D59" sqref="D59"/>
      <pageMargins left="0.31496062992125984" right="0.31496062992125984" top="0.35433070866141736" bottom="0.35433070866141736" header="0.31496062992125984" footer="0.31496062992125984"/>
      <pageSetup paperSize="9" scale="42" orientation="portrait" verticalDpi="180" r:id="rId6"/>
    </customSheetView>
    <customSheetView guid="{018285DA-3408-490C-ABEC-1F81E9B027B8}" scale="80">
      <pane ySplit="10" topLeftCell="A38" activePane="bottomLeft" state="frozen"/>
      <selection pane="bottomLeft" activeCell="D59" sqref="D59"/>
      <pageMargins left="0.31496062992125984" right="0.31496062992125984" top="0.35433070866141736" bottom="0.35433070866141736" header="0.31496062992125984" footer="0.31496062992125984"/>
      <pageSetup paperSize="9" scale="42" orientation="portrait" verticalDpi="180" r:id="rId7"/>
    </customSheetView>
    <customSheetView guid="{A5DBAE43-8F82-4F4D-9055-3A08EB5E7494}" scale="80" fitToPage="1">
      <pane ySplit="10" topLeftCell="A11" activePane="bottomLeft" state="frozen"/>
      <selection pane="bottomLeft" activeCell="F35" sqref="F3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80D9E77B-0FDF-47F7-9E67-DE30E0CF7473}" scale="80" showPageBreaks="1" fitToPage="1">
      <pane ySplit="10" topLeftCell="A11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2DCCB647-6BFB-4F2E-B13D-18849C971762}" fitToPage="1">
      <pane ySplit="10" topLeftCell="A26" activePane="bottomLeft" state="frozen"/>
      <selection pane="bottomLeft" activeCell="C31" sqref="C31"/>
      <pageMargins left="0.70866141732283472" right="0.70866141732283472" top="0.74803149606299213" bottom="0.74803149606299213" header="0.31496062992125984" footer="0.31496062992125984"/>
      <pageSetup paperSize="9" scale="35" fitToHeight="2" orientation="landscape" horizontalDpi="180" verticalDpi="180" r:id="rId10"/>
    </customSheetView>
    <customSheetView guid="{8BE83DB2-6774-48C6-92AB-2B7F8E9B28FE}" scale="80" fitToPage="1">
      <pane ySplit="10" topLeftCell="A11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802963C4-0B26-4FAC-BA6A-4A8F0B5EEF6E}" scale="80" showPageBreaks="1" fitToPage="1">
      <pane ySplit="10" topLeftCell="A11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29B9ECE6-FCA1-4FB1-A261-60DAFF74F5A0}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5" fitToHeight="2" orientation="landscape" horizontalDpi="180" verticalDpi="180" r:id="rId13"/>
    </customSheetView>
    <customSheetView guid="{AB2344E8-B2B4-4FED-B00F-4FC936E289CA}" scale="80" fitToPage="1">
      <pane ySplit="10" topLeftCell="A11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2EF908A7-3CB6-44E9-B36E-C5E6228059C9}" scale="80" fitToPage="1">
      <pane ySplit="10" topLeftCell="A11" activePane="bottomLeft" state="frozen"/>
      <selection pane="bottomLeft" activeCell="G34" sqref="G34"/>
      <pageMargins left="0.31496062992125984" right="0.31496062992125984" top="0.35433070866141736" bottom="0.35433070866141736" header="0.31496062992125984" footer="0.31496062992125984"/>
      <pageSetup paperSize="9" scale="12" fitToHeight="2" orientation="landscape" verticalDpi="180" r:id="rId15"/>
    </customSheetView>
    <customSheetView guid="{49CFD9BB-4553-4961-98FA-54D606D77CB3}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5" fitToHeight="2" orientation="landscape" horizontalDpi="180" verticalDpi="180" r:id="rId16"/>
    </customSheetView>
    <customSheetView guid="{43178A93-ED05-455B-9A0A-D005815672F4}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68" fitToHeight="2" orientation="landscape" horizontalDpi="180" verticalDpi="180" r:id="rId17"/>
    </customSheetView>
    <customSheetView guid="{3EDDB5B9-BC77-4202-8F70-9C3651D44459}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68" fitToHeight="2" orientation="landscape" horizontalDpi="180" verticalDpi="180" r:id="rId18"/>
    </customSheetView>
    <customSheetView guid="{E8D276FA-C068-4D2C-854E-6CC3B576A81F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5" fitToHeight="2" orientation="landscape" horizontalDpi="180" verticalDpi="180" r:id="rId19"/>
    </customSheetView>
    <customSheetView guid="{F703C042-0718-476E-AC4E-A7D8272E3D5D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10" fitToHeight="2" orientation="landscape" horizontalDpi="180" verticalDpi="180" r:id="rId20"/>
    </customSheetView>
    <customSheetView guid="{76DE8D8D-0AE0-44F4-9134-4F50A4AF1423}" scale="80" fitToPage="1">
      <pane ySplit="10" topLeftCell="A38" activePane="bottomLeft" state="frozen"/>
      <selection pane="bottomLeft" activeCell="B61" sqref="B6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1"/>
    </customSheetView>
    <customSheetView guid="{252DDAAD-7623-465E-8DD1-187342A6B6D8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2" fitToHeight="2" orientation="landscape" horizontalDpi="180" verticalDpi="180" r:id="rId22"/>
    </customSheetView>
    <customSheetView guid="{D8A19DD2-30A5-49C4-B365-269F2931D330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2" fitToHeight="2" orientation="landscape" horizontalDpi="180" verticalDpi="180" r:id="rId23"/>
    </customSheetView>
    <customSheetView guid="{6D6F00BA-5393-49B6-B3BC-C80F08FA7E30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2" fitToHeight="2" orientation="landscape" horizontalDpi="180" verticalDpi="180" r:id="rId24"/>
    </customSheetView>
    <customSheetView guid="{887BBBC8-E1A3-4468-951B-36A5511E64E6}" scale="80" showPageBreaks="1" printArea="1">
      <pane ySplit="10" topLeftCell="A41" activePane="bottomLeft" state="frozen"/>
      <selection pane="bottomLeft" activeCell="N52" sqref="N52"/>
      <pageMargins left="0.31496062992125984" right="0.31496062992125984" top="0.35433070866141736" bottom="0.35433070866141736" header="0.31496062992125984" footer="0.31496062992125984"/>
      <pageSetup paperSize="9" scale="42" orientation="portrait" verticalDpi="180" r:id="rId25"/>
    </customSheetView>
    <customSheetView guid="{45FCA6AB-AB6F-4F22-9438-33A76E5A8860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2" fitToHeight="2" orientation="landscape" horizontalDpi="180" verticalDpi="180" r:id="rId26"/>
    </customSheetView>
    <customSheetView guid="{0D720A5F-1A01-491E-B456-8B8A613064CA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32" fitToHeight="2" orientation="landscape" horizontalDpi="180" verticalDpi="180" r:id="rId27"/>
    </customSheetView>
    <customSheetView guid="{D5197AC6-1A58-48A0-AB21-B9E0EBB01937}" showPageBreaks="1" fitToPage="1">
      <pane ySplit="10" topLeftCell="A11" activePane="bottomLeft" state="frozen"/>
      <selection pane="bottomLeft" activeCell="B12" sqref="B12"/>
      <pageMargins left="0.70866141732283472" right="0.70866141732283472" top="0.74803149606299213" bottom="0.74803149606299213" header="0.31496062992125984" footer="0.31496062992125984"/>
      <pageSetup paperSize="9" scale="27" fitToHeight="2" orientation="landscape" horizontalDpi="180" verticalDpi="180" r:id="rId28"/>
    </customSheetView>
    <customSheetView guid="{5E847525-B5B0-4151-9870-F971B482221C}" scale="80" showPageBreaks="1" fitToPage="1">
      <pane ySplit="10" topLeftCell="A11" activePane="bottomLeft" state="frozen"/>
      <selection pane="bottomLeft" activeCell="G34" sqref="G34"/>
      <pageMargins left="0.31496062992125984" right="0.31496062992125984" top="0.35433070866141736" bottom="0.35433070866141736" header="0.31496062992125984" footer="0.31496062992125984"/>
      <pageSetup paperSize="9" scale="34" fitToHeight="2" orientation="landscape" verticalDpi="180" r:id="rId29"/>
    </customSheetView>
    <customSheetView guid="{F096868F-4D12-4AA8-9A60-4F727A578110}" scale="80" showPageBreaks="1" fitToPage="1">
      <pane ySplit="10" topLeftCell="A15" activePane="bottomLeft" state="frozen"/>
      <selection pane="bottomLeft" activeCell="A53" sqref="A53:XFD53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0"/>
    </customSheetView>
  </customSheetViews>
  <mergeCells count="35">
    <mergeCell ref="S1:U1"/>
    <mergeCell ref="L5:L9"/>
    <mergeCell ref="M5:M9"/>
    <mergeCell ref="K7:K9"/>
    <mergeCell ref="F6:F9"/>
    <mergeCell ref="G6:I6"/>
    <mergeCell ref="J7:J9"/>
    <mergeCell ref="C5:D5"/>
    <mergeCell ref="C6:C9"/>
    <mergeCell ref="D6:D9"/>
    <mergeCell ref="H7:I7"/>
    <mergeCell ref="H8:H9"/>
    <mergeCell ref="Q8:Q9"/>
    <mergeCell ref="R5:U5"/>
    <mergeCell ref="S6:U6"/>
    <mergeCell ref="S7:S9"/>
    <mergeCell ref="T7:U7"/>
    <mergeCell ref="T8:T9"/>
    <mergeCell ref="U8:U9"/>
    <mergeCell ref="A2:U2"/>
    <mergeCell ref="A4:U4"/>
    <mergeCell ref="A5:A9"/>
    <mergeCell ref="B5:B9"/>
    <mergeCell ref="I8:I9"/>
    <mergeCell ref="R6:R9"/>
    <mergeCell ref="N6:N9"/>
    <mergeCell ref="O6:Q6"/>
    <mergeCell ref="O7:O9"/>
    <mergeCell ref="P7:Q7"/>
    <mergeCell ref="P8:P9"/>
    <mergeCell ref="J6:K6"/>
    <mergeCell ref="N5:Q5"/>
    <mergeCell ref="G7:G9"/>
    <mergeCell ref="E5:E9"/>
    <mergeCell ref="F5:K5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horizontalDpi="180" verticalDpi="18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9"/>
  <sheetViews>
    <sheetView zoomScale="80" zoomScaleNormal="80" workbookViewId="0">
      <pane ySplit="11" topLeftCell="A38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8" style="2" customWidth="1"/>
    <col min="12" max="12" width="17.5703125" style="2" customWidth="1"/>
    <col min="13" max="13" width="52.85546875" style="2" customWidth="1"/>
    <col min="14" max="15" width="18.42578125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3">
      <c r="A4" s="303" t="s">
        <v>48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109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3">
        <v>3</v>
      </c>
      <c r="D11" s="233">
        <v>4</v>
      </c>
      <c r="E11" s="238">
        <v>5</v>
      </c>
      <c r="F11" s="233">
        <v>6</v>
      </c>
      <c r="G11" s="233">
        <v>7</v>
      </c>
      <c r="H11" s="238">
        <v>8</v>
      </c>
      <c r="I11" s="233">
        <v>9</v>
      </c>
      <c r="J11" s="233">
        <v>10</v>
      </c>
      <c r="K11" s="238">
        <v>11</v>
      </c>
      <c r="L11" s="233">
        <v>12</v>
      </c>
      <c r="M11" s="233">
        <v>13</v>
      </c>
      <c r="N11" s="239"/>
      <c r="O11" s="239"/>
      <c r="P11" s="238">
        <v>14</v>
      </c>
      <c r="Q11" s="233">
        <v>15</v>
      </c>
      <c r="R11" s="233">
        <v>16</v>
      </c>
      <c r="S11" s="238">
        <v>17</v>
      </c>
      <c r="T11" s="233">
        <v>18</v>
      </c>
      <c r="U11" s="233">
        <v>19</v>
      </c>
      <c r="V11" s="238">
        <v>20</v>
      </c>
      <c r="W11" s="233">
        <v>21</v>
      </c>
    </row>
    <row r="12" spans="1:23" s="25" customFormat="1" ht="45" x14ac:dyDescent="0.25">
      <c r="A12" s="241">
        <v>1</v>
      </c>
      <c r="B12" s="22" t="s">
        <v>154</v>
      </c>
      <c r="C12" s="194">
        <f>C15</f>
        <v>0</v>
      </c>
      <c r="D12" s="194">
        <f>D15</f>
        <v>7321733.5700000003</v>
      </c>
      <c r="E12" s="194">
        <f>E15</f>
        <v>0</v>
      </c>
      <c r="F12" s="194">
        <f>F15</f>
        <v>0</v>
      </c>
      <c r="G12" s="194">
        <f>H12+I12</f>
        <v>0</v>
      </c>
      <c r="H12" s="23">
        <f>H15+H16+H17+H18+H19</f>
        <v>0</v>
      </c>
      <c r="I12" s="23">
        <f>J12+K12</f>
        <v>0</v>
      </c>
      <c r="J12" s="23">
        <f>J15+J16+J17+J18+J19</f>
        <v>0</v>
      </c>
      <c r="K12" s="23">
        <f>K15+K16+K17+K18+K19</f>
        <v>0</v>
      </c>
      <c r="L12" s="23">
        <f>L15</f>
        <v>0</v>
      </c>
      <c r="M12" s="24"/>
      <c r="N12" s="36"/>
      <c r="O12" s="36"/>
      <c r="P12" s="23">
        <f>P15+P16+P17+P18+P19</f>
        <v>0</v>
      </c>
      <c r="Q12" s="23">
        <f>R12+S12</f>
        <v>0</v>
      </c>
      <c r="R12" s="23">
        <f>R15+R16+R17+R18+R19</f>
        <v>0</v>
      </c>
      <c r="S12" s="23">
        <f>S15+S16+S17+S18+S19</f>
        <v>0</v>
      </c>
      <c r="T12" s="23">
        <f>T15+T16+T17+T18+T19</f>
        <v>0</v>
      </c>
      <c r="U12" s="23">
        <f>V12+W12</f>
        <v>0</v>
      </c>
      <c r="V12" s="23">
        <f>V15+V16+V17+V18+V19</f>
        <v>0</v>
      </c>
      <c r="W12" s="23">
        <f>W15+W16+W17+W18+W19</f>
        <v>0</v>
      </c>
    </row>
    <row r="13" spans="1:23" s="25" customFormat="1" ht="15.75" x14ac:dyDescent="0.25">
      <c r="A13" s="242"/>
      <c r="B13" s="27" t="s">
        <v>1</v>
      </c>
      <c r="C13" s="124"/>
      <c r="D13" s="124"/>
      <c r="E13" s="124"/>
      <c r="F13" s="124"/>
      <c r="G13" s="194">
        <f t="shared" ref="G13:G39" si="0">H13+I13</f>
        <v>0</v>
      </c>
      <c r="H13" s="23"/>
      <c r="I13" s="23">
        <f t="shared" ref="I13:I19" si="1">J13+K13</f>
        <v>0</v>
      </c>
      <c r="J13" s="23"/>
      <c r="K13" s="23"/>
      <c r="L13" s="23"/>
      <c r="M13" s="24"/>
      <c r="N13" s="36"/>
      <c r="O13" s="36"/>
      <c r="P13" s="23"/>
      <c r="Q13" s="23">
        <f t="shared" ref="Q13:Q19" si="2">R13+S13</f>
        <v>0</v>
      </c>
      <c r="R13" s="23"/>
      <c r="S13" s="23"/>
      <c r="T13" s="23"/>
      <c r="U13" s="23">
        <f t="shared" ref="U13:U19" si="3">V13+W13</f>
        <v>0</v>
      </c>
      <c r="V13" s="23"/>
      <c r="W13" s="23"/>
    </row>
    <row r="14" spans="1:23" s="201" customFormat="1" ht="60" x14ac:dyDescent="0.25">
      <c r="A14" s="262" t="s">
        <v>4</v>
      </c>
      <c r="B14" s="196" t="s">
        <v>155</v>
      </c>
      <c r="C14" s="197"/>
      <c r="D14" s="197">
        <v>138518</v>
      </c>
      <c r="E14" s="197"/>
      <c r="F14" s="197">
        <v>138518</v>
      </c>
      <c r="G14" s="198">
        <f>H14+I14</f>
        <v>88800</v>
      </c>
      <c r="H14" s="195"/>
      <c r="I14" s="195">
        <f>J14+K14</f>
        <v>88800</v>
      </c>
      <c r="J14" s="195"/>
      <c r="K14" s="195">
        <v>88800</v>
      </c>
      <c r="L14" s="195">
        <v>342335.74</v>
      </c>
      <c r="M14" s="199" t="s">
        <v>156</v>
      </c>
      <c r="N14" s="200">
        <v>350000</v>
      </c>
      <c r="O14" s="40"/>
      <c r="P14" s="195"/>
      <c r="Q14" s="195">
        <f>R14+S14</f>
        <v>0</v>
      </c>
      <c r="R14" s="195"/>
      <c r="S14" s="195"/>
      <c r="T14" s="195"/>
      <c r="U14" s="195">
        <f>V14+W14</f>
        <v>0</v>
      </c>
      <c r="V14" s="195"/>
      <c r="W14" s="195"/>
    </row>
    <row r="15" spans="1:23" s="29" customFormat="1" ht="80.45" customHeight="1" x14ac:dyDescent="0.25">
      <c r="A15" s="243" t="s">
        <v>5</v>
      </c>
      <c r="B15" s="30" t="s">
        <v>439</v>
      </c>
      <c r="C15" s="124"/>
      <c r="D15" s="124">
        <v>7321733.5700000003</v>
      </c>
      <c r="E15" s="124"/>
      <c r="F15" s="124">
        <v>0</v>
      </c>
      <c r="G15" s="194">
        <f t="shared" si="0"/>
        <v>0</v>
      </c>
      <c r="H15" s="23"/>
      <c r="I15" s="23">
        <f t="shared" si="1"/>
        <v>0</v>
      </c>
      <c r="J15" s="23"/>
      <c r="K15" s="23"/>
      <c r="L15" s="23"/>
      <c r="M15" s="33"/>
      <c r="N15" s="200"/>
      <c r="O15" s="42"/>
      <c r="P15" s="23"/>
      <c r="Q15" s="23">
        <f t="shared" si="2"/>
        <v>0</v>
      </c>
      <c r="R15" s="23"/>
      <c r="S15" s="23"/>
      <c r="T15" s="23"/>
      <c r="U15" s="23">
        <f t="shared" si="3"/>
        <v>0</v>
      </c>
      <c r="V15" s="23"/>
      <c r="W15" s="23"/>
    </row>
    <row r="16" spans="1:23" s="29" customFormat="1" ht="15.6" hidden="1" x14ac:dyDescent="0.25">
      <c r="A16" s="243" t="s">
        <v>5</v>
      </c>
      <c r="B16" s="30"/>
      <c r="C16" s="124"/>
      <c r="D16" s="124"/>
      <c r="E16" s="124"/>
      <c r="F16" s="124"/>
      <c r="G16" s="194">
        <f t="shared" si="0"/>
        <v>0</v>
      </c>
      <c r="H16" s="23"/>
      <c r="I16" s="23">
        <f t="shared" si="1"/>
        <v>0</v>
      </c>
      <c r="J16" s="23"/>
      <c r="K16" s="23"/>
      <c r="L16" s="23"/>
      <c r="M16" s="28"/>
      <c r="N16" s="200"/>
      <c r="O16" s="42"/>
      <c r="P16" s="23"/>
      <c r="Q16" s="23">
        <f t="shared" si="2"/>
        <v>0</v>
      </c>
      <c r="R16" s="23"/>
      <c r="S16" s="23"/>
      <c r="T16" s="23"/>
      <c r="U16" s="23">
        <f t="shared" si="3"/>
        <v>0</v>
      </c>
      <c r="V16" s="23"/>
      <c r="W16" s="23"/>
    </row>
    <row r="17" spans="1:23" s="29" customFormat="1" ht="15.6" hidden="1" x14ac:dyDescent="0.25">
      <c r="A17" s="243" t="s">
        <v>6</v>
      </c>
      <c r="B17" s="30"/>
      <c r="C17" s="124"/>
      <c r="D17" s="124"/>
      <c r="E17" s="124"/>
      <c r="F17" s="124"/>
      <c r="G17" s="194">
        <f t="shared" si="0"/>
        <v>0</v>
      </c>
      <c r="H17" s="23"/>
      <c r="I17" s="23">
        <f t="shared" si="1"/>
        <v>0</v>
      </c>
      <c r="J17" s="23"/>
      <c r="K17" s="23"/>
      <c r="L17" s="23"/>
      <c r="M17" s="28"/>
      <c r="N17" s="200"/>
      <c r="O17" s="42"/>
      <c r="P17" s="23"/>
      <c r="Q17" s="23">
        <f t="shared" si="2"/>
        <v>0</v>
      </c>
      <c r="R17" s="23"/>
      <c r="S17" s="23"/>
      <c r="T17" s="23"/>
      <c r="U17" s="23">
        <f t="shared" si="3"/>
        <v>0</v>
      </c>
      <c r="V17" s="23"/>
      <c r="W17" s="23"/>
    </row>
    <row r="18" spans="1:23" s="29" customFormat="1" ht="15.6" hidden="1" x14ac:dyDescent="0.3">
      <c r="A18" s="243" t="s">
        <v>7</v>
      </c>
      <c r="B18" s="30"/>
      <c r="C18" s="124"/>
      <c r="D18" s="124"/>
      <c r="E18" s="124"/>
      <c r="F18" s="124"/>
      <c r="G18" s="194">
        <f t="shared" si="0"/>
        <v>0</v>
      </c>
      <c r="H18" s="31"/>
      <c r="I18" s="23">
        <f t="shared" si="1"/>
        <v>0</v>
      </c>
      <c r="J18" s="31"/>
      <c r="K18" s="31"/>
      <c r="L18" s="31"/>
      <c r="M18" s="32"/>
      <c r="N18" s="200"/>
      <c r="O18" s="18"/>
      <c r="P18" s="31"/>
      <c r="Q18" s="23">
        <f t="shared" si="2"/>
        <v>0</v>
      </c>
      <c r="R18" s="31"/>
      <c r="S18" s="31"/>
      <c r="T18" s="31"/>
      <c r="U18" s="23">
        <f t="shared" si="3"/>
        <v>0</v>
      </c>
      <c r="V18" s="31"/>
      <c r="W18" s="31"/>
    </row>
    <row r="19" spans="1:23" s="29" customFormat="1" ht="15.6" hidden="1" x14ac:dyDescent="0.25">
      <c r="A19" s="243" t="s">
        <v>12</v>
      </c>
      <c r="B19" s="30"/>
      <c r="C19" s="124"/>
      <c r="D19" s="124"/>
      <c r="E19" s="124"/>
      <c r="F19" s="124"/>
      <c r="G19" s="194">
        <f t="shared" si="0"/>
        <v>0</v>
      </c>
      <c r="H19" s="23"/>
      <c r="I19" s="23">
        <f t="shared" si="1"/>
        <v>0</v>
      </c>
      <c r="J19" s="23"/>
      <c r="K19" s="23"/>
      <c r="L19" s="23"/>
      <c r="M19" s="33"/>
      <c r="N19" s="200"/>
      <c r="O19" s="202"/>
      <c r="P19" s="23"/>
      <c r="Q19" s="23">
        <f t="shared" si="2"/>
        <v>0</v>
      </c>
      <c r="R19" s="23"/>
      <c r="S19" s="23"/>
      <c r="T19" s="23"/>
      <c r="U19" s="23">
        <f t="shared" si="3"/>
        <v>0</v>
      </c>
      <c r="V19" s="23"/>
      <c r="W19" s="23"/>
    </row>
    <row r="20" spans="1:23" s="29" customFormat="1" ht="30" x14ac:dyDescent="0.25">
      <c r="A20" s="241">
        <v>2</v>
      </c>
      <c r="B20" s="22" t="s">
        <v>157</v>
      </c>
      <c r="C20" s="88">
        <f>C22+C23+C24+C25+C26+C27+C28+C29+C30+C31+C32+C33</f>
        <v>0</v>
      </c>
      <c r="D20" s="88">
        <f>D22+D23+D24+D25+D26+D27+D28+D29+D30+D31+D32+D33</f>
        <v>109582</v>
      </c>
      <c r="E20" s="88">
        <f>E22+E23+E24+E25+E26+E27+E28+E29+E30+E31+E32+E33</f>
        <v>0</v>
      </c>
      <c r="F20" s="88">
        <f>F22+F23+F24+F25+F26+F27+F28+F29+F30+F31+F32+F33</f>
        <v>28000</v>
      </c>
      <c r="G20" s="194">
        <f t="shared" si="0"/>
        <v>0</v>
      </c>
      <c r="H20" s="23">
        <f>H22+H23+H24+H25+H26</f>
        <v>0</v>
      </c>
      <c r="I20" s="23">
        <f>J20+K20</f>
        <v>0</v>
      </c>
      <c r="J20" s="23">
        <f t="shared" ref="J20:K20" si="4">J22+J23+J24+J25+J26</f>
        <v>0</v>
      </c>
      <c r="K20" s="23">
        <f t="shared" si="4"/>
        <v>0</v>
      </c>
      <c r="L20" s="23">
        <f>SUM(L22:L33)</f>
        <v>1477629</v>
      </c>
      <c r="M20" s="24"/>
      <c r="N20" s="200"/>
      <c r="O20" s="42"/>
      <c r="P20" s="23">
        <f t="shared" ref="P20" si="5">P22+P23+P24+P25+P26</f>
        <v>0</v>
      </c>
      <c r="Q20" s="23">
        <f>R20+S20</f>
        <v>90000</v>
      </c>
      <c r="R20" s="23">
        <f t="shared" ref="R20:T20" si="6">R22+R23+R24+R25+R26</f>
        <v>0</v>
      </c>
      <c r="S20" s="23">
        <f>SUM(S22:S33)</f>
        <v>90000</v>
      </c>
      <c r="T20" s="23">
        <f t="shared" si="6"/>
        <v>0</v>
      </c>
      <c r="U20" s="23">
        <f>V20+W20</f>
        <v>88400</v>
      </c>
      <c r="V20" s="23">
        <f t="shared" ref="V20" si="7">V22+V23+V24+V25+V26</f>
        <v>0</v>
      </c>
      <c r="W20" s="23">
        <f>SUM(W22:W33)</f>
        <v>88400</v>
      </c>
    </row>
    <row r="21" spans="1:23" s="25" customFormat="1" ht="15.75" x14ac:dyDescent="0.25">
      <c r="A21" s="242"/>
      <c r="B21" s="27" t="s">
        <v>1</v>
      </c>
      <c r="C21" s="124"/>
      <c r="D21" s="124"/>
      <c r="E21" s="124"/>
      <c r="F21" s="124"/>
      <c r="G21" s="194">
        <f t="shared" si="0"/>
        <v>0</v>
      </c>
      <c r="H21" s="23"/>
      <c r="I21" s="23">
        <f t="shared" ref="I21:I38" si="8">J21+K21</f>
        <v>0</v>
      </c>
      <c r="J21" s="23"/>
      <c r="K21" s="23"/>
      <c r="L21" s="23"/>
      <c r="M21" s="24"/>
      <c r="N21" s="200"/>
      <c r="O21" s="42"/>
      <c r="P21" s="23"/>
      <c r="Q21" s="23">
        <f t="shared" ref="Q21:Q38" si="9">R21+S21</f>
        <v>0</v>
      </c>
      <c r="R21" s="23"/>
      <c r="S21" s="23"/>
      <c r="T21" s="23"/>
      <c r="U21" s="23">
        <f t="shared" ref="U21:U38" si="10">V21+W21</f>
        <v>0</v>
      </c>
      <c r="V21" s="23"/>
      <c r="W21" s="23"/>
    </row>
    <row r="22" spans="1:23" s="25" customFormat="1" ht="255" x14ac:dyDescent="0.25">
      <c r="A22" s="243"/>
      <c r="B22" s="89" t="s">
        <v>415</v>
      </c>
      <c r="C22" s="124"/>
      <c r="D22" s="124">
        <v>35000</v>
      </c>
      <c r="E22" s="124"/>
      <c r="F22" s="124">
        <v>0</v>
      </c>
      <c r="G22" s="194">
        <f t="shared" si="0"/>
        <v>0</v>
      </c>
      <c r="H22" s="23"/>
      <c r="I22" s="23">
        <f t="shared" si="8"/>
        <v>0</v>
      </c>
      <c r="J22" s="23"/>
      <c r="K22" s="23"/>
      <c r="L22" s="23">
        <v>186800</v>
      </c>
      <c r="M22" s="33" t="s">
        <v>431</v>
      </c>
      <c r="N22" s="200">
        <v>186800</v>
      </c>
      <c r="O22" s="42"/>
      <c r="P22" s="23"/>
      <c r="Q22" s="23">
        <f t="shared" si="9"/>
        <v>90000</v>
      </c>
      <c r="R22" s="23"/>
      <c r="S22" s="23">
        <v>90000</v>
      </c>
      <c r="T22" s="23"/>
      <c r="U22" s="23">
        <f t="shared" si="10"/>
        <v>88400</v>
      </c>
      <c r="V22" s="23"/>
      <c r="W22" s="23">
        <v>88400</v>
      </c>
    </row>
    <row r="23" spans="1:23" s="25" customFormat="1" ht="58.7" customHeight="1" x14ac:dyDescent="0.25">
      <c r="A23" s="243"/>
      <c r="B23" s="305" t="s">
        <v>416</v>
      </c>
      <c r="C23" s="124"/>
      <c r="D23" s="124">
        <v>46582</v>
      </c>
      <c r="E23" s="124"/>
      <c r="F23" s="124">
        <v>0</v>
      </c>
      <c r="G23" s="194">
        <f t="shared" si="0"/>
        <v>0</v>
      </c>
      <c r="H23" s="23"/>
      <c r="I23" s="23">
        <f t="shared" si="8"/>
        <v>0</v>
      </c>
      <c r="J23" s="23"/>
      <c r="K23" s="23"/>
      <c r="L23" s="23">
        <v>53660</v>
      </c>
      <c r="M23" s="134" t="s">
        <v>417</v>
      </c>
      <c r="N23" s="118"/>
      <c r="O23" s="118"/>
      <c r="P23" s="23"/>
      <c r="Q23" s="23">
        <f t="shared" si="9"/>
        <v>0</v>
      </c>
      <c r="R23" s="23"/>
      <c r="S23" s="23"/>
      <c r="T23" s="23"/>
      <c r="U23" s="23">
        <f t="shared" si="10"/>
        <v>0</v>
      </c>
      <c r="V23" s="23"/>
      <c r="W23" s="23"/>
    </row>
    <row r="24" spans="1:23" s="29" customFormat="1" ht="15.6" hidden="1" x14ac:dyDescent="0.25">
      <c r="A24" s="243"/>
      <c r="B24" s="306"/>
      <c r="C24" s="124"/>
      <c r="D24" s="124"/>
      <c r="E24" s="124"/>
      <c r="F24" s="124"/>
      <c r="G24" s="194">
        <f t="shared" si="0"/>
        <v>0</v>
      </c>
      <c r="H24" s="23"/>
      <c r="I24" s="23">
        <f t="shared" si="8"/>
        <v>0</v>
      </c>
      <c r="J24" s="23"/>
      <c r="K24" s="23"/>
      <c r="L24" s="23"/>
      <c r="M24" s="28"/>
      <c r="N24" s="118"/>
      <c r="O24" s="118"/>
      <c r="P24" s="23"/>
      <c r="Q24" s="23">
        <f t="shared" si="9"/>
        <v>0</v>
      </c>
      <c r="R24" s="23"/>
      <c r="S24" s="23"/>
      <c r="T24" s="23"/>
      <c r="U24" s="23">
        <f t="shared" si="10"/>
        <v>0</v>
      </c>
      <c r="V24" s="23"/>
      <c r="W24" s="23"/>
    </row>
    <row r="25" spans="1:23" s="29" customFormat="1" ht="105" x14ac:dyDescent="0.25">
      <c r="A25" s="243"/>
      <c r="B25" s="30" t="s">
        <v>418</v>
      </c>
      <c r="C25" s="124"/>
      <c r="D25" s="124">
        <v>0</v>
      </c>
      <c r="E25" s="124"/>
      <c r="F25" s="124">
        <v>0</v>
      </c>
      <c r="G25" s="194">
        <f t="shared" si="0"/>
        <v>0</v>
      </c>
      <c r="H25" s="31"/>
      <c r="I25" s="23">
        <f t="shared" si="8"/>
        <v>0</v>
      </c>
      <c r="J25" s="31"/>
      <c r="K25" s="31"/>
      <c r="L25" s="23">
        <v>800000</v>
      </c>
      <c r="M25" s="33" t="s">
        <v>419</v>
      </c>
      <c r="N25" s="118"/>
      <c r="O25" s="118"/>
      <c r="P25" s="31"/>
      <c r="Q25" s="23">
        <f t="shared" si="9"/>
        <v>0</v>
      </c>
      <c r="R25" s="31"/>
      <c r="S25" s="31"/>
      <c r="T25" s="31"/>
      <c r="U25" s="23">
        <f t="shared" si="10"/>
        <v>0</v>
      </c>
      <c r="V25" s="31"/>
      <c r="W25" s="31"/>
    </row>
    <row r="26" spans="1:23" s="29" customFormat="1" ht="240" x14ac:dyDescent="0.25">
      <c r="A26" s="243"/>
      <c r="B26" s="30" t="s">
        <v>420</v>
      </c>
      <c r="C26" s="203"/>
      <c r="D26" s="124">
        <v>0</v>
      </c>
      <c r="E26" s="124"/>
      <c r="F26" s="124">
        <v>0</v>
      </c>
      <c r="G26" s="194">
        <f t="shared" si="0"/>
        <v>0</v>
      </c>
      <c r="H26" s="23"/>
      <c r="I26" s="23">
        <f t="shared" si="8"/>
        <v>0</v>
      </c>
      <c r="J26" s="23"/>
      <c r="K26" s="23"/>
      <c r="L26" s="23">
        <v>235520</v>
      </c>
      <c r="M26" s="33" t="s">
        <v>421</v>
      </c>
      <c r="N26" s="118"/>
      <c r="O26" s="118"/>
      <c r="P26" s="23"/>
      <c r="Q26" s="23">
        <f t="shared" si="9"/>
        <v>0</v>
      </c>
      <c r="R26" s="23"/>
      <c r="S26" s="23"/>
      <c r="T26" s="23"/>
      <c r="U26" s="23">
        <f t="shared" si="10"/>
        <v>0</v>
      </c>
      <c r="V26" s="23"/>
      <c r="W26" s="23"/>
    </row>
    <row r="27" spans="1:23" s="11" customFormat="1" ht="180" x14ac:dyDescent="0.25">
      <c r="A27" s="243"/>
      <c r="B27" s="39" t="s">
        <v>422</v>
      </c>
      <c r="C27" s="204"/>
      <c r="D27" s="205"/>
      <c r="E27" s="205"/>
      <c r="F27" s="206"/>
      <c r="G27" s="194">
        <f t="shared" si="0"/>
        <v>0</v>
      </c>
      <c r="H27" s="8"/>
      <c r="I27" s="8">
        <f t="shared" si="8"/>
        <v>0</v>
      </c>
      <c r="J27" s="8"/>
      <c r="K27" s="8"/>
      <c r="L27" s="8">
        <v>31000</v>
      </c>
      <c r="M27" s="33" t="s">
        <v>423</v>
      </c>
      <c r="N27" s="118"/>
      <c r="O27" s="118"/>
      <c r="P27" s="8"/>
      <c r="Q27" s="8">
        <f t="shared" si="9"/>
        <v>0</v>
      </c>
      <c r="R27" s="8"/>
      <c r="S27" s="8"/>
      <c r="T27" s="8"/>
      <c r="U27" s="8">
        <f t="shared" si="10"/>
        <v>0</v>
      </c>
      <c r="V27" s="8"/>
      <c r="W27" s="8"/>
    </row>
    <row r="28" spans="1:23" s="11" customFormat="1" ht="89.45" customHeight="1" x14ac:dyDescent="0.25">
      <c r="A28" s="243"/>
      <c r="B28" s="39" t="s">
        <v>424</v>
      </c>
      <c r="C28" s="97"/>
      <c r="D28" s="80">
        <v>12500</v>
      </c>
      <c r="E28" s="80"/>
      <c r="F28" s="207">
        <v>12500</v>
      </c>
      <c r="G28" s="194">
        <f t="shared" si="0"/>
        <v>0</v>
      </c>
      <c r="H28" s="8"/>
      <c r="I28" s="8">
        <f t="shared" si="8"/>
        <v>0</v>
      </c>
      <c r="J28" s="8"/>
      <c r="K28" s="8"/>
      <c r="L28" s="8">
        <v>31005</v>
      </c>
      <c r="M28" s="39" t="s">
        <v>425</v>
      </c>
      <c r="N28" s="118"/>
      <c r="O28" s="118"/>
      <c r="P28" s="8"/>
      <c r="Q28" s="8">
        <f t="shared" si="9"/>
        <v>0</v>
      </c>
      <c r="R28" s="8"/>
      <c r="S28" s="8"/>
      <c r="T28" s="8"/>
      <c r="U28" s="8">
        <f t="shared" si="10"/>
        <v>0</v>
      </c>
      <c r="V28" s="8"/>
      <c r="W28" s="8"/>
    </row>
    <row r="29" spans="1:23" s="11" customFormat="1" ht="165" x14ac:dyDescent="0.25">
      <c r="A29" s="243"/>
      <c r="B29" s="39" t="s">
        <v>426</v>
      </c>
      <c r="C29" s="97"/>
      <c r="D29" s="80"/>
      <c r="E29" s="80"/>
      <c r="F29" s="207"/>
      <c r="G29" s="194">
        <f t="shared" si="0"/>
        <v>0</v>
      </c>
      <c r="H29" s="8"/>
      <c r="I29" s="8">
        <f t="shared" si="8"/>
        <v>0</v>
      </c>
      <c r="J29" s="8"/>
      <c r="K29" s="8"/>
      <c r="L29" s="8">
        <v>32500</v>
      </c>
      <c r="M29" s="64" t="s">
        <v>427</v>
      </c>
      <c r="N29" s="118"/>
      <c r="O29" s="118"/>
      <c r="P29" s="8"/>
      <c r="Q29" s="8">
        <f t="shared" si="9"/>
        <v>0</v>
      </c>
      <c r="R29" s="8"/>
      <c r="S29" s="8"/>
      <c r="T29" s="8"/>
      <c r="U29" s="8">
        <f t="shared" si="10"/>
        <v>0</v>
      </c>
      <c r="V29" s="8"/>
      <c r="W29" s="8"/>
    </row>
    <row r="30" spans="1:23" s="19" customFormat="1" ht="90" x14ac:dyDescent="0.25">
      <c r="A30" s="243"/>
      <c r="B30" s="39" t="s">
        <v>158</v>
      </c>
      <c r="C30" s="97"/>
      <c r="D30" s="3">
        <v>15500</v>
      </c>
      <c r="E30" s="3"/>
      <c r="F30" s="208">
        <v>15500</v>
      </c>
      <c r="G30" s="194">
        <f t="shared" si="0"/>
        <v>0</v>
      </c>
      <c r="H30" s="8"/>
      <c r="I30" s="8">
        <f t="shared" si="8"/>
        <v>0</v>
      </c>
      <c r="J30" s="8"/>
      <c r="K30" s="8"/>
      <c r="L30" s="8">
        <v>102644</v>
      </c>
      <c r="M30" s="64" t="s">
        <v>428</v>
      </c>
      <c r="N30" s="118"/>
      <c r="O30" s="118"/>
      <c r="P30" s="8"/>
      <c r="Q30" s="8">
        <f t="shared" si="9"/>
        <v>0</v>
      </c>
      <c r="R30" s="8"/>
      <c r="S30" s="8"/>
      <c r="T30" s="8"/>
      <c r="U30" s="8">
        <f t="shared" si="10"/>
        <v>0</v>
      </c>
      <c r="V30" s="8"/>
      <c r="W30" s="8"/>
    </row>
    <row r="31" spans="1:23" s="19" customFormat="1" ht="180" x14ac:dyDescent="0.25">
      <c r="A31" s="243"/>
      <c r="B31" s="39" t="s">
        <v>429</v>
      </c>
      <c r="C31" s="97"/>
      <c r="D31" s="3"/>
      <c r="E31" s="3"/>
      <c r="F31" s="208"/>
      <c r="G31" s="194">
        <f t="shared" si="0"/>
        <v>0</v>
      </c>
      <c r="H31" s="8"/>
      <c r="I31" s="8">
        <f t="shared" si="8"/>
        <v>0</v>
      </c>
      <c r="J31" s="8"/>
      <c r="K31" s="8"/>
      <c r="L31" s="8">
        <v>4500</v>
      </c>
      <c r="M31" s="39" t="s">
        <v>430</v>
      </c>
      <c r="N31" s="118"/>
      <c r="O31" s="118"/>
      <c r="P31" s="8"/>
      <c r="Q31" s="8">
        <f t="shared" si="9"/>
        <v>0</v>
      </c>
      <c r="R31" s="8"/>
      <c r="S31" s="8"/>
      <c r="T31" s="8"/>
      <c r="U31" s="8">
        <f t="shared" si="10"/>
        <v>0</v>
      </c>
      <c r="V31" s="8"/>
      <c r="W31" s="8"/>
    </row>
    <row r="32" spans="1:23" s="19" customFormat="1" ht="15.6" x14ac:dyDescent="0.3">
      <c r="A32" s="243"/>
      <c r="B32" s="39"/>
      <c r="C32" s="97"/>
      <c r="D32" s="80"/>
      <c r="E32" s="80"/>
      <c r="F32" s="207"/>
      <c r="G32" s="194"/>
      <c r="H32" s="8"/>
      <c r="I32" s="8"/>
      <c r="J32" s="8"/>
      <c r="K32" s="8"/>
      <c r="L32" s="8"/>
      <c r="M32" s="39"/>
      <c r="N32" s="59"/>
      <c r="O32" s="59"/>
      <c r="P32" s="8"/>
      <c r="Q32" s="8"/>
      <c r="R32" s="8"/>
      <c r="S32" s="8"/>
      <c r="T32" s="8"/>
      <c r="U32" s="8"/>
      <c r="V32" s="8"/>
      <c r="W32" s="8"/>
    </row>
    <row r="33" spans="1:23" s="19" customFormat="1" ht="15.6" x14ac:dyDescent="0.3">
      <c r="A33" s="243"/>
      <c r="B33" s="39"/>
      <c r="C33" s="97"/>
      <c r="D33" s="80"/>
      <c r="E33" s="80"/>
      <c r="F33" s="207"/>
      <c r="G33" s="194"/>
      <c r="H33" s="8"/>
      <c r="I33" s="8"/>
      <c r="J33" s="8"/>
      <c r="K33" s="8"/>
      <c r="L33" s="8"/>
      <c r="M33" s="39"/>
      <c r="N33" s="59"/>
      <c r="O33" s="59"/>
      <c r="P33" s="8"/>
      <c r="Q33" s="8"/>
      <c r="R33" s="8"/>
      <c r="S33" s="8"/>
      <c r="T33" s="8"/>
      <c r="U33" s="8"/>
      <c r="V33" s="8"/>
      <c r="W33" s="8"/>
    </row>
    <row r="34" spans="1:23" s="19" customFormat="1" ht="15.6" hidden="1" x14ac:dyDescent="0.3">
      <c r="A34" s="243"/>
      <c r="B34" s="13"/>
      <c r="C34" s="97"/>
      <c r="D34" s="80"/>
      <c r="E34" s="80"/>
      <c r="F34" s="207"/>
      <c r="G34" s="194">
        <f t="shared" si="0"/>
        <v>0</v>
      </c>
      <c r="H34" s="8"/>
      <c r="I34" s="8">
        <f t="shared" si="8"/>
        <v>0</v>
      </c>
      <c r="J34" s="8"/>
      <c r="K34" s="8"/>
      <c r="L34" s="8"/>
      <c r="M34" s="13"/>
      <c r="N34" s="59"/>
      <c r="O34" s="59"/>
      <c r="P34" s="8"/>
      <c r="Q34" s="8">
        <f t="shared" si="9"/>
        <v>0</v>
      </c>
      <c r="R34" s="8"/>
      <c r="S34" s="8"/>
      <c r="T34" s="8"/>
      <c r="U34" s="8">
        <f t="shared" si="10"/>
        <v>0</v>
      </c>
      <c r="V34" s="8"/>
      <c r="W34" s="8"/>
    </row>
    <row r="35" spans="1:23" s="19" customFormat="1" ht="15.6" hidden="1" x14ac:dyDescent="0.3">
      <c r="A35" s="243"/>
      <c r="B35" s="13"/>
      <c r="C35" s="97"/>
      <c r="D35" s="80"/>
      <c r="E35" s="80"/>
      <c r="F35" s="207"/>
      <c r="G35" s="194">
        <f t="shared" si="0"/>
        <v>0</v>
      </c>
      <c r="H35" s="8"/>
      <c r="I35" s="8">
        <f t="shared" si="8"/>
        <v>0</v>
      </c>
      <c r="J35" s="8"/>
      <c r="K35" s="8"/>
      <c r="L35" s="8"/>
      <c r="M35" s="13"/>
      <c r="N35" s="59"/>
      <c r="O35" s="59"/>
      <c r="P35" s="8"/>
      <c r="Q35" s="8">
        <f t="shared" si="9"/>
        <v>0</v>
      </c>
      <c r="R35" s="8"/>
      <c r="S35" s="8"/>
      <c r="T35" s="8"/>
      <c r="U35" s="8">
        <f t="shared" si="10"/>
        <v>0</v>
      </c>
      <c r="V35" s="8"/>
      <c r="W35" s="8"/>
    </row>
    <row r="36" spans="1:23" s="19" customFormat="1" ht="15.6" hidden="1" x14ac:dyDescent="0.3">
      <c r="A36" s="243"/>
      <c r="B36" s="13"/>
      <c r="C36" s="97"/>
      <c r="D36" s="80"/>
      <c r="E36" s="80"/>
      <c r="F36" s="207"/>
      <c r="G36" s="194">
        <f t="shared" si="0"/>
        <v>0</v>
      </c>
      <c r="H36" s="8"/>
      <c r="I36" s="8">
        <f t="shared" si="8"/>
        <v>0</v>
      </c>
      <c r="J36" s="8"/>
      <c r="K36" s="8"/>
      <c r="L36" s="8"/>
      <c r="M36" s="13"/>
      <c r="N36" s="59"/>
      <c r="O36" s="59"/>
      <c r="P36" s="8"/>
      <c r="Q36" s="8">
        <f t="shared" si="9"/>
        <v>0</v>
      </c>
      <c r="R36" s="8"/>
      <c r="S36" s="8"/>
      <c r="T36" s="8"/>
      <c r="U36" s="8">
        <f t="shared" si="10"/>
        <v>0</v>
      </c>
      <c r="V36" s="8"/>
      <c r="W36" s="8"/>
    </row>
    <row r="37" spans="1:23" s="19" customFormat="1" ht="15.6" hidden="1" x14ac:dyDescent="0.3">
      <c r="A37" s="243"/>
      <c r="B37" s="13"/>
      <c r="C37" s="97"/>
      <c r="D37" s="80"/>
      <c r="E37" s="80"/>
      <c r="F37" s="207"/>
      <c r="G37" s="194">
        <f t="shared" si="0"/>
        <v>0</v>
      </c>
      <c r="H37" s="8"/>
      <c r="I37" s="8">
        <f t="shared" si="8"/>
        <v>0</v>
      </c>
      <c r="J37" s="8"/>
      <c r="K37" s="8"/>
      <c r="L37" s="8"/>
      <c r="M37" s="13"/>
      <c r="N37" s="59"/>
      <c r="O37" s="59"/>
      <c r="P37" s="8"/>
      <c r="Q37" s="8">
        <f t="shared" si="9"/>
        <v>0</v>
      </c>
      <c r="R37" s="8"/>
      <c r="S37" s="8"/>
      <c r="T37" s="8"/>
      <c r="U37" s="8">
        <f t="shared" si="10"/>
        <v>0</v>
      </c>
      <c r="V37" s="8"/>
      <c r="W37" s="8"/>
    </row>
    <row r="38" spans="1:23" s="19" customFormat="1" ht="15.75" customHeight="1" x14ac:dyDescent="0.25">
      <c r="A38" s="234" t="s">
        <v>27</v>
      </c>
      <c r="B38" s="13"/>
      <c r="C38" s="97"/>
      <c r="D38" s="80"/>
      <c r="E38" s="80"/>
      <c r="F38" s="207"/>
      <c r="G38" s="194">
        <f t="shared" si="0"/>
        <v>0</v>
      </c>
      <c r="H38" s="8"/>
      <c r="I38" s="8">
        <f t="shared" si="8"/>
        <v>0</v>
      </c>
      <c r="J38" s="8"/>
      <c r="K38" s="8"/>
      <c r="L38" s="8"/>
      <c r="M38" s="13"/>
      <c r="N38" s="59"/>
      <c r="O38" s="59"/>
      <c r="P38" s="8"/>
      <c r="Q38" s="8">
        <f t="shared" si="9"/>
        <v>0</v>
      </c>
      <c r="R38" s="8"/>
      <c r="S38" s="8"/>
      <c r="T38" s="8"/>
      <c r="U38" s="8">
        <f t="shared" si="10"/>
        <v>0</v>
      </c>
      <c r="V38" s="8"/>
      <c r="W38" s="8"/>
    </row>
    <row r="39" spans="1:23" s="1" customFormat="1" ht="15.75" x14ac:dyDescent="0.25">
      <c r="A39" s="237"/>
      <c r="B39" s="15" t="s">
        <v>14</v>
      </c>
      <c r="C39" s="209">
        <f>C12+C20</f>
        <v>0</v>
      </c>
      <c r="D39" s="137">
        <f>D12+D20</f>
        <v>7431315.5700000003</v>
      </c>
      <c r="E39" s="137">
        <f>E12+E20</f>
        <v>0</v>
      </c>
      <c r="F39" s="210">
        <f>F12+F20</f>
        <v>28000</v>
      </c>
      <c r="G39" s="194">
        <f t="shared" si="0"/>
        <v>0</v>
      </c>
      <c r="H39" s="16">
        <f>SUM(H27:H38)+H20+H12</f>
        <v>0</v>
      </c>
      <c r="I39" s="16">
        <f>SUM(I12+I20)</f>
        <v>0</v>
      </c>
      <c r="J39" s="16">
        <f>SUM(J12+J20)</f>
        <v>0</v>
      </c>
      <c r="K39" s="16">
        <f>SUM(K12+K20)</f>
        <v>0</v>
      </c>
      <c r="L39" s="16">
        <f>SUM(L12+L20)</f>
        <v>1477629</v>
      </c>
      <c r="M39" s="16"/>
      <c r="N39" s="18">
        <f>SUM(N12:N38)</f>
        <v>536800</v>
      </c>
      <c r="O39" s="18">
        <f t="shared" ref="O39" si="11">SUM(O12+O20)</f>
        <v>0</v>
      </c>
      <c r="P39" s="16">
        <f>SUM(P12+P20)</f>
        <v>0</v>
      </c>
      <c r="Q39" s="16">
        <f>SUM(Q12+Q20)</f>
        <v>90000</v>
      </c>
      <c r="R39" s="16">
        <f t="shared" ref="R39" si="12">SUM(R12+R20)</f>
        <v>0</v>
      </c>
      <c r="S39" s="16">
        <f>SUM(S12+S20)</f>
        <v>90000</v>
      </c>
      <c r="T39" s="16">
        <f>SUM(T12+T20)</f>
        <v>0</v>
      </c>
      <c r="U39" s="16">
        <f>SUM(U12+U20)</f>
        <v>88400</v>
      </c>
      <c r="V39" s="16">
        <f t="shared" ref="V39" si="13">SUM(V12+V20)</f>
        <v>0</v>
      </c>
      <c r="W39" s="16">
        <f>SUM(W12+W20)</f>
        <v>88400</v>
      </c>
    </row>
  </sheetData>
  <customSheetViews>
    <customSheetView guid="{F55D2626-B25D-4865-88D7-A4040A583D45}" scale="80" showPageBreaks="1" fitToPage="1" hiddenRows="1" topLeftCell="D1">
      <pane ySplit="11" topLeftCell="A32" activePane="bottomLeft" state="frozen"/>
      <selection pane="bottomLeft" activeCell="N15" sqref="N15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80" showPageBreaks="1" fitToPage="1" hiddenRows="1" topLeftCell="F1">
      <pane ySplit="11" topLeftCell="A32" activePane="bottomLeft" state="frozen"/>
      <selection pane="bottomLeft" activeCell="N39" sqref="N39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80" showPageBreaks="1" fitToPage="1" hiddenRows="1">
      <pane ySplit="11" topLeftCell="A12" activePane="bottomLeft" state="frozen"/>
      <selection pane="bottomLeft" activeCell="A40" sqref="A40:XFD40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80" showPageBreaks="1" fitToPage="1" hiddenRows="1" topLeftCell="C1">
      <pane ySplit="11" topLeftCell="A12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80" fitToPage="1" hiddenRows="1">
      <pane ySplit="11" topLeftCell="A12" activePane="bottomLeft" state="frozen"/>
      <selection pane="bottomLeft" activeCell="H29" sqref="H2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80" showPageBreaks="1" fitToPage="1" hiddenRows="1" topLeftCell="C1">
      <pane ySplit="11" topLeftCell="A12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80" fitToPage="1" hiddenRows="1" topLeftCell="C1">
      <pane ySplit="11" topLeftCell="A12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80" showPageBreaks="1" fitToPage="1" hiddenRows="1" topLeftCell="C1">
      <pane ySplit="11" topLeftCell="A40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80" showPageBreaks="1" fitToPage="1" hiddenRows="1" topLeftCell="C1">
      <pane ySplit="11" topLeftCell="A40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80" showPageBreaks="1" fitToPage="1" hiddenRows="1" topLeftCell="C1">
      <pane ySplit="11" topLeftCell="A12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0"/>
    </customSheetView>
    <customSheetView guid="{887BBBC8-E1A3-4468-951B-36A5511E64E6}" scale="80" showPageBreaks="1" fitToPage="1" hiddenRows="1" topLeftCell="C1">
      <pane ySplit="11" topLeftCell="A12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80" showPageBreaks="1" fitToPage="1" hiddenRows="1" topLeftCell="C1">
      <pane ySplit="11" topLeftCell="A31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80" showPageBreaks="1" fitToPage="1" hiddenRows="1" topLeftCell="C1">
      <pane ySplit="11" topLeftCell="A40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80" showPageBreaks="1" fitToPage="1" hiddenRows="1" topLeftCell="C1">
      <pane ySplit="11" topLeftCell="A40" activePane="bottomLeft" state="frozen"/>
      <selection pane="bottomLeft" activeCell="R21" sqref="R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80" showPageBreaks="1" fitToPage="1" hiddenRows="1">
      <pane ySplit="11" topLeftCell="A12" activePane="bottomLeft" state="frozen"/>
      <selection pane="bottomLeft" activeCell="H29" sqref="H2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80" showPageBreaks="1" fitToPage="1" hiddenRows="1">
      <pane xSplit="2" ySplit="11" topLeftCell="C24" activePane="bottomRight" state="frozen"/>
      <selection pane="bottomRight" activeCell="B28" sqref="B28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6"/>
    </customSheetView>
  </customSheetViews>
  <mergeCells count="35">
    <mergeCell ref="L8:L10"/>
    <mergeCell ref="M8:M10"/>
    <mergeCell ref="Q8:Q10"/>
    <mergeCell ref="U8:U10"/>
    <mergeCell ref="S9:S10"/>
    <mergeCell ref="N6:N10"/>
    <mergeCell ref="O6:O10"/>
    <mergeCell ref="V9:V10"/>
    <mergeCell ref="W9:W10"/>
    <mergeCell ref="P7:P10"/>
    <mergeCell ref="Q7:S7"/>
    <mergeCell ref="T7:T10"/>
    <mergeCell ref="U7:W7"/>
    <mergeCell ref="R8:S8"/>
    <mergeCell ref="B23:B24"/>
    <mergeCell ref="C6:F6"/>
    <mergeCell ref="G6:G10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V8:W8"/>
    <mergeCell ref="J9:J10"/>
    <mergeCell ref="K9:K10"/>
    <mergeCell ref="R9:R10"/>
  </mergeCells>
  <pageMargins left="0.31496062992125984" right="0.31496062992125984" top="0.35433070866141736" bottom="0.35433070866141736" header="0.31496062992125984" footer="0.31496062992125984"/>
  <pageSetup paperSize="9" scale="29" fitToHeight="2" orientation="landscape" verticalDpi="180"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24"/>
  <sheetViews>
    <sheetView zoomScaleNormal="100" workbookViewId="0">
      <pane ySplit="11" topLeftCell="A15" activePane="bottomLeft" state="frozen"/>
      <selection activeCell="H14" sqref="H14"/>
      <selection pane="bottomLeft" activeCell="G19" sqref="G19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7" width="19.5703125" style="2" customWidth="1"/>
    <col min="8" max="8" width="56.42578125" style="2" customWidth="1"/>
    <col min="9" max="10" width="20.85546875" style="2" customWidth="1"/>
    <col min="11" max="11" width="19.5703125" style="2" customWidth="1"/>
    <col min="12" max="12" width="17.5703125" style="2" customWidth="1"/>
    <col min="13" max="18" width="19.5703125" style="2" customWidth="1"/>
    <col min="19" max="20" width="9.140625" style="35"/>
    <col min="21" max="16384" width="9.140625" style="2"/>
  </cols>
  <sheetData>
    <row r="2" spans="1:18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ht="6" customHeight="1" x14ac:dyDescent="0.3"/>
    <row r="4" spans="1:18" s="35" customFormat="1" ht="42.75" customHeight="1" x14ac:dyDescent="0.3">
      <c r="A4" s="303" t="s">
        <v>49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</row>
    <row r="5" spans="1:18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0"/>
      <c r="L5" s="20"/>
      <c r="M5" s="20"/>
      <c r="N5" s="20"/>
      <c r="O5" s="20"/>
      <c r="P5" s="20"/>
      <c r="Q5" s="20"/>
      <c r="R5" s="20"/>
    </row>
    <row r="6" spans="1:18" s="35" customFormat="1" ht="33.75" customHeight="1" x14ac:dyDescent="0.25">
      <c r="A6" s="270" t="s">
        <v>0</v>
      </c>
      <c r="B6" s="271" t="s">
        <v>28</v>
      </c>
      <c r="C6" s="292" t="s">
        <v>21</v>
      </c>
      <c r="D6" s="293"/>
      <c r="E6" s="293"/>
      <c r="F6" s="293"/>
      <c r="G6" s="293"/>
      <c r="H6" s="294"/>
      <c r="I6" s="285" t="s">
        <v>447</v>
      </c>
      <c r="J6" s="285" t="s">
        <v>448</v>
      </c>
      <c r="K6" s="277" t="s">
        <v>22</v>
      </c>
      <c r="L6" s="277"/>
      <c r="M6" s="277"/>
      <c r="N6" s="277"/>
      <c r="O6" s="277" t="s">
        <v>41</v>
      </c>
      <c r="P6" s="277"/>
      <c r="Q6" s="277"/>
      <c r="R6" s="277"/>
    </row>
    <row r="7" spans="1:18" s="35" customFormat="1" ht="47.25" customHeight="1" x14ac:dyDescent="0.25">
      <c r="A7" s="270"/>
      <c r="B7" s="271"/>
      <c r="C7" s="283" t="s">
        <v>8</v>
      </c>
      <c r="D7" s="274" t="s">
        <v>23</v>
      </c>
      <c r="E7" s="275"/>
      <c r="F7" s="275"/>
      <c r="G7" s="271" t="s">
        <v>24</v>
      </c>
      <c r="H7" s="271"/>
      <c r="I7" s="286"/>
      <c r="J7" s="286"/>
      <c r="K7" s="271" t="s">
        <v>8</v>
      </c>
      <c r="L7" s="274" t="s">
        <v>23</v>
      </c>
      <c r="M7" s="275"/>
      <c r="N7" s="275"/>
      <c r="O7" s="271" t="s">
        <v>8</v>
      </c>
      <c r="P7" s="276" t="s">
        <v>23</v>
      </c>
      <c r="Q7" s="276"/>
      <c r="R7" s="276"/>
    </row>
    <row r="8" spans="1:18" s="35" customFormat="1" ht="18.75" customHeight="1" x14ac:dyDescent="0.25">
      <c r="A8" s="270"/>
      <c r="B8" s="271"/>
      <c r="C8" s="283"/>
      <c r="D8" s="271" t="s">
        <v>15</v>
      </c>
      <c r="E8" s="276" t="s">
        <v>16</v>
      </c>
      <c r="F8" s="276"/>
      <c r="G8" s="288" t="s">
        <v>9</v>
      </c>
      <c r="H8" s="272" t="s">
        <v>20</v>
      </c>
      <c r="I8" s="286"/>
      <c r="J8" s="286"/>
      <c r="K8" s="271"/>
      <c r="L8" s="271" t="s">
        <v>15</v>
      </c>
      <c r="M8" s="276" t="s">
        <v>16</v>
      </c>
      <c r="N8" s="276"/>
      <c r="O8" s="271"/>
      <c r="P8" s="271" t="s">
        <v>15</v>
      </c>
      <c r="Q8" s="276" t="s">
        <v>16</v>
      </c>
      <c r="R8" s="276"/>
    </row>
    <row r="9" spans="1:18" s="35" customFormat="1" ht="39.75" customHeight="1" x14ac:dyDescent="0.25">
      <c r="A9" s="270"/>
      <c r="B9" s="271"/>
      <c r="C9" s="283"/>
      <c r="D9" s="271"/>
      <c r="E9" s="271" t="s">
        <v>17</v>
      </c>
      <c r="F9" s="272" t="s">
        <v>18</v>
      </c>
      <c r="G9" s="289"/>
      <c r="H9" s="284"/>
      <c r="I9" s="286"/>
      <c r="J9" s="286"/>
      <c r="K9" s="271"/>
      <c r="L9" s="271"/>
      <c r="M9" s="271" t="s">
        <v>17</v>
      </c>
      <c r="N9" s="272" t="s">
        <v>18</v>
      </c>
      <c r="O9" s="271"/>
      <c r="P9" s="271"/>
      <c r="Q9" s="271" t="s">
        <v>17</v>
      </c>
      <c r="R9" s="272" t="s">
        <v>18</v>
      </c>
    </row>
    <row r="10" spans="1:18" s="35" customFormat="1" ht="37.5" customHeight="1" x14ac:dyDescent="0.25">
      <c r="A10" s="270"/>
      <c r="B10" s="271"/>
      <c r="C10" s="283"/>
      <c r="D10" s="271"/>
      <c r="E10" s="271"/>
      <c r="F10" s="273"/>
      <c r="G10" s="290"/>
      <c r="H10" s="273"/>
      <c r="I10" s="287"/>
      <c r="J10" s="287"/>
      <c r="K10" s="271"/>
      <c r="L10" s="271"/>
      <c r="M10" s="271"/>
      <c r="N10" s="273"/>
      <c r="O10" s="271"/>
      <c r="P10" s="271"/>
      <c r="Q10" s="271"/>
      <c r="R10" s="273"/>
    </row>
    <row r="11" spans="1:18" s="240" customFormat="1" ht="16.5" customHeight="1" x14ac:dyDescent="0.3">
      <c r="A11" s="233">
        <v>1</v>
      </c>
      <c r="B11" s="238">
        <v>2</v>
      </c>
      <c r="C11" s="244">
        <v>3</v>
      </c>
      <c r="D11" s="233">
        <v>4</v>
      </c>
      <c r="E11" s="238">
        <v>5</v>
      </c>
      <c r="F11" s="244">
        <v>6</v>
      </c>
      <c r="G11" s="238">
        <v>7</v>
      </c>
      <c r="H11" s="244">
        <v>8</v>
      </c>
      <c r="I11" s="249"/>
      <c r="J11" s="249"/>
      <c r="K11" s="244">
        <v>9</v>
      </c>
      <c r="L11" s="233">
        <v>10</v>
      </c>
      <c r="M11" s="238">
        <v>11</v>
      </c>
      <c r="N11" s="244">
        <v>12</v>
      </c>
      <c r="O11" s="244">
        <v>13</v>
      </c>
      <c r="P11" s="233">
        <v>14</v>
      </c>
      <c r="Q11" s="238">
        <v>15</v>
      </c>
      <c r="R11" s="244">
        <v>16</v>
      </c>
    </row>
    <row r="12" spans="1:18" s="11" customFormat="1" x14ac:dyDescent="0.25">
      <c r="A12" s="234"/>
      <c r="B12" s="13"/>
      <c r="C12" s="8"/>
      <c r="D12" s="307" t="s">
        <v>243</v>
      </c>
      <c r="E12" s="308"/>
      <c r="F12" s="308"/>
      <c r="G12" s="308"/>
      <c r="H12" s="309"/>
      <c r="I12" s="188"/>
      <c r="J12" s="188"/>
      <c r="K12" s="8"/>
      <c r="L12" s="8">
        <f t="shared" ref="L12:L19" si="0">M12+N12</f>
        <v>0</v>
      </c>
      <c r="M12" s="8"/>
      <c r="N12" s="8"/>
      <c r="O12" s="8"/>
      <c r="P12" s="8">
        <f t="shared" ref="P12:P19" si="1">Q12+R12</f>
        <v>0</v>
      </c>
      <c r="Q12" s="8"/>
      <c r="R12" s="8"/>
    </row>
    <row r="13" spans="1:18" s="11" customFormat="1" ht="30" x14ac:dyDescent="0.25">
      <c r="A13" s="234">
        <v>3</v>
      </c>
      <c r="B13" s="13" t="s">
        <v>244</v>
      </c>
      <c r="C13" s="8">
        <v>636000</v>
      </c>
      <c r="D13" s="8">
        <f>E13</f>
        <v>33473.69</v>
      </c>
      <c r="E13" s="8">
        <v>33473.69</v>
      </c>
      <c r="F13" s="8">
        <v>0</v>
      </c>
      <c r="G13" s="8">
        <v>0</v>
      </c>
      <c r="H13" s="8">
        <f>+H14+H15+H17</f>
        <v>0</v>
      </c>
      <c r="I13" s="9"/>
      <c r="J13" s="9"/>
      <c r="K13" s="8">
        <v>636000</v>
      </c>
      <c r="L13" s="8">
        <f>M13</f>
        <v>33473.69</v>
      </c>
      <c r="M13" s="8">
        <v>33473.69</v>
      </c>
      <c r="N13" s="8">
        <v>0</v>
      </c>
      <c r="O13" s="8">
        <v>636000</v>
      </c>
      <c r="P13" s="8">
        <f t="shared" si="1"/>
        <v>33473.69</v>
      </c>
      <c r="Q13" s="8">
        <v>33473.69</v>
      </c>
      <c r="R13" s="8">
        <v>0</v>
      </c>
    </row>
    <row r="14" spans="1:18" s="11" customFormat="1" ht="90" x14ac:dyDescent="0.25">
      <c r="A14" s="234">
        <v>4</v>
      </c>
      <c r="B14" s="13" t="s">
        <v>245</v>
      </c>
      <c r="C14" s="8">
        <v>3687000</v>
      </c>
      <c r="D14" s="8">
        <f t="shared" ref="D14:D19" si="2">E14+F14</f>
        <v>194052.63</v>
      </c>
      <c r="E14" s="8">
        <v>194052.63</v>
      </c>
      <c r="F14" s="8">
        <v>0</v>
      </c>
      <c r="G14" s="8">
        <v>0</v>
      </c>
      <c r="H14" s="8">
        <v>0</v>
      </c>
      <c r="I14" s="9"/>
      <c r="J14" s="9"/>
      <c r="K14" s="8">
        <v>3687000</v>
      </c>
      <c r="L14" s="8">
        <f t="shared" si="0"/>
        <v>194052.63</v>
      </c>
      <c r="M14" s="8">
        <v>194052.63</v>
      </c>
      <c r="N14" s="8">
        <v>0</v>
      </c>
      <c r="O14" s="8">
        <v>3687000</v>
      </c>
      <c r="P14" s="8">
        <v>194052.63</v>
      </c>
      <c r="Q14" s="8">
        <v>194052.63</v>
      </c>
      <c r="R14" s="8">
        <v>0</v>
      </c>
    </row>
    <row r="15" spans="1:18" s="35" customFormat="1" ht="60" x14ac:dyDescent="0.25">
      <c r="A15" s="234">
        <v>5</v>
      </c>
      <c r="B15" s="13" t="s">
        <v>246</v>
      </c>
      <c r="C15" s="8">
        <v>500000</v>
      </c>
      <c r="D15" s="8">
        <v>26315.79</v>
      </c>
      <c r="E15" s="8">
        <v>26315.79</v>
      </c>
      <c r="F15" s="8">
        <v>0</v>
      </c>
      <c r="G15" s="8">
        <v>0</v>
      </c>
      <c r="H15" s="8">
        <v>0</v>
      </c>
      <c r="I15" s="9"/>
      <c r="J15" s="9"/>
      <c r="K15" s="8">
        <v>500000</v>
      </c>
      <c r="L15" s="8">
        <f t="shared" si="0"/>
        <v>26315.79</v>
      </c>
      <c r="M15" s="8">
        <v>26315.79</v>
      </c>
      <c r="N15" s="8">
        <v>0</v>
      </c>
      <c r="O15" s="8">
        <v>500000</v>
      </c>
      <c r="P15" s="8">
        <f>Q15+R15</f>
        <v>26315.79</v>
      </c>
      <c r="Q15" s="8">
        <v>26315.79</v>
      </c>
      <c r="R15" s="8">
        <v>0</v>
      </c>
    </row>
    <row r="16" spans="1:18" s="35" customFormat="1" x14ac:dyDescent="0.25">
      <c r="A16" s="234"/>
      <c r="B16" s="13"/>
      <c r="C16" s="8"/>
      <c r="D16" s="189" t="s">
        <v>247</v>
      </c>
      <c r="E16" s="190"/>
      <c r="F16" s="190"/>
      <c r="G16" s="190"/>
      <c r="H16" s="191"/>
      <c r="I16" s="191"/>
      <c r="J16" s="191"/>
      <c r="K16" s="45"/>
      <c r="L16" s="8">
        <f t="shared" si="0"/>
        <v>0</v>
      </c>
      <c r="M16" s="8"/>
      <c r="N16" s="8"/>
      <c r="O16" s="8"/>
      <c r="P16" s="8">
        <f t="shared" si="1"/>
        <v>0</v>
      </c>
      <c r="Q16" s="8"/>
      <c r="R16" s="8"/>
    </row>
    <row r="17" spans="1:18" s="35" customFormat="1" ht="45" x14ac:dyDescent="0.25">
      <c r="A17" s="234">
        <v>7</v>
      </c>
      <c r="B17" s="13" t="s">
        <v>248</v>
      </c>
      <c r="C17" s="8">
        <v>5600</v>
      </c>
      <c r="D17" s="8">
        <f t="shared" si="2"/>
        <v>0</v>
      </c>
      <c r="E17" s="8">
        <v>0</v>
      </c>
      <c r="F17" s="8">
        <v>0</v>
      </c>
      <c r="G17" s="8">
        <v>0</v>
      </c>
      <c r="H17" s="8">
        <v>0</v>
      </c>
      <c r="I17" s="9"/>
      <c r="J17" s="9"/>
      <c r="K17" s="8">
        <v>5600</v>
      </c>
      <c r="L17" s="8">
        <f t="shared" si="0"/>
        <v>0</v>
      </c>
      <c r="M17" s="8">
        <v>0</v>
      </c>
      <c r="N17" s="8">
        <v>0</v>
      </c>
      <c r="O17" s="8">
        <v>5600</v>
      </c>
      <c r="P17" s="8">
        <f t="shared" si="1"/>
        <v>0</v>
      </c>
      <c r="Q17" s="8">
        <v>0</v>
      </c>
      <c r="R17" s="8">
        <v>0</v>
      </c>
    </row>
    <row r="18" spans="1:18" s="35" customFormat="1" x14ac:dyDescent="0.25">
      <c r="A18" s="234"/>
      <c r="B18" s="13"/>
      <c r="C18" s="8"/>
      <c r="D18" s="310" t="s">
        <v>249</v>
      </c>
      <c r="E18" s="311"/>
      <c r="F18" s="311"/>
      <c r="G18" s="311"/>
      <c r="H18" s="311"/>
      <c r="I18" s="311"/>
      <c r="J18" s="311"/>
      <c r="K18" s="312"/>
      <c r="L18" s="8">
        <f t="shared" si="0"/>
        <v>0</v>
      </c>
      <c r="M18" s="8"/>
      <c r="N18" s="8"/>
      <c r="O18" s="8"/>
      <c r="P18" s="8">
        <f t="shared" si="1"/>
        <v>0</v>
      </c>
      <c r="Q18" s="8"/>
      <c r="R18" s="8"/>
    </row>
    <row r="19" spans="1:18" s="35" customFormat="1" ht="30" x14ac:dyDescent="0.25">
      <c r="A19" s="234">
        <v>8</v>
      </c>
      <c r="B19" s="13" t="s">
        <v>250</v>
      </c>
      <c r="C19" s="8">
        <v>0</v>
      </c>
      <c r="D19" s="8">
        <f t="shared" si="2"/>
        <v>0</v>
      </c>
      <c r="E19" s="8">
        <v>0</v>
      </c>
      <c r="F19" s="8">
        <v>0</v>
      </c>
      <c r="G19" s="8">
        <v>10000</v>
      </c>
      <c r="H19" s="79" t="s">
        <v>303</v>
      </c>
      <c r="I19" s="192">
        <v>10000</v>
      </c>
      <c r="J19" s="192"/>
      <c r="K19" s="8">
        <v>0</v>
      </c>
      <c r="L19" s="8">
        <f t="shared" si="0"/>
        <v>0</v>
      </c>
      <c r="M19" s="8">
        <v>0</v>
      </c>
      <c r="N19" s="8">
        <v>0</v>
      </c>
      <c r="O19" s="8">
        <v>0</v>
      </c>
      <c r="P19" s="8">
        <f t="shared" si="1"/>
        <v>0</v>
      </c>
      <c r="Q19" s="8">
        <v>0</v>
      </c>
      <c r="R19" s="8">
        <v>0</v>
      </c>
    </row>
    <row r="20" spans="1:18" s="35" customFormat="1" ht="14.45" x14ac:dyDescent="0.3">
      <c r="A20" s="234"/>
      <c r="B20" s="13"/>
      <c r="C20" s="8"/>
      <c r="D20" s="8"/>
      <c r="E20" s="8"/>
      <c r="F20" s="8"/>
      <c r="G20" s="8"/>
      <c r="H20" s="79"/>
      <c r="I20" s="192"/>
      <c r="J20" s="192"/>
      <c r="K20" s="8"/>
      <c r="L20" s="8"/>
      <c r="M20" s="8"/>
      <c r="N20" s="8"/>
      <c r="O20" s="8"/>
      <c r="P20" s="8"/>
      <c r="Q20" s="8"/>
      <c r="R20" s="8"/>
    </row>
    <row r="21" spans="1:18" s="35" customFormat="1" x14ac:dyDescent="0.25">
      <c r="A21" s="237"/>
      <c r="B21" s="15" t="s">
        <v>14</v>
      </c>
      <c r="C21" s="16">
        <f>C13+C14+C15+C17</f>
        <v>4828600</v>
      </c>
      <c r="D21" s="16">
        <f>D13+D14+D15+D17+D19</f>
        <v>253842.11000000002</v>
      </c>
      <c r="E21" s="16">
        <f>E13+E14+E15</f>
        <v>253842.11000000002</v>
      </c>
      <c r="F21" s="16">
        <f>F13+F14+F15+F17+F19</f>
        <v>0</v>
      </c>
      <c r="G21" s="16">
        <f>G14+G19</f>
        <v>10000</v>
      </c>
      <c r="H21" s="16">
        <f>H24</f>
        <v>0</v>
      </c>
      <c r="I21" s="18">
        <f>I14+I19</f>
        <v>10000</v>
      </c>
      <c r="J21" s="18">
        <v>0</v>
      </c>
      <c r="K21" s="16">
        <f>K13+K14+K15+K17</f>
        <v>4828600</v>
      </c>
      <c r="L21" s="16">
        <f>L13+L14+L15</f>
        <v>253842.11000000002</v>
      </c>
      <c r="M21" s="16">
        <f>M13+M14+M15</f>
        <v>253842.11000000002</v>
      </c>
      <c r="N21" s="16">
        <f>N13+N14+N15+N17+N19</f>
        <v>0</v>
      </c>
      <c r="O21" s="16">
        <f>O13+O14+O15+O17</f>
        <v>4828600</v>
      </c>
      <c r="P21" s="16">
        <f>P13+P14+P15</f>
        <v>253842.11000000002</v>
      </c>
      <c r="Q21" s="16">
        <f>Q13+Q14+Q15</f>
        <v>253842.11000000002</v>
      </c>
      <c r="R21" s="16">
        <f>R13+R14+R15+R17+R19</f>
        <v>0</v>
      </c>
    </row>
    <row r="24" spans="1:18" ht="14.45" x14ac:dyDescent="0.3">
      <c r="E24" s="193"/>
    </row>
  </sheetData>
  <customSheetViews>
    <customSheetView guid="{F55D2626-B25D-4865-88D7-A4040A583D45}" scale="90" showPageBreaks="1" fitToPage="1" topLeftCell="E1">
      <pane ySplit="11" topLeftCell="A12" activePane="bottomLeft" state="frozen"/>
      <selection pane="bottomLeft" activeCell="I21" sqref="I21:J21"/>
      <pageMargins left="0.31496062992125984" right="0.31496062992125984" top="0.35433070866141736" bottom="0.35433070866141736" header="0.31496062992125984" footer="0.31496062992125984"/>
      <pageSetup paperSize="9" scale="34" fitToHeight="2" orientation="landscape" verticalDpi="180" r:id="rId1"/>
    </customSheetView>
    <customSheetView guid="{9D6C8421-31F4-449D-B427-1D13044E970D}" scale="90" showPageBreaks="1" fitToPage="1">
      <pane ySplit="11" topLeftCell="A12" activePane="bottomLeft" state="frozen"/>
      <selection pane="bottomLeft" activeCell="E13" sqref="E13:E15"/>
      <pageMargins left="0.31496062992125984" right="0.31496062992125984" top="0.35433070866141736" bottom="0.35433070866141736" header="0.31496062992125984" footer="0.31496062992125984"/>
      <pageSetup paperSize="9" scale="34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E17" sqref="E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7" activePane="bottomLeft" state="frozen"/>
      <selection pane="bottomLeft" activeCell="H33" sqref="H3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C20" sqref="C20:D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C20" sqref="C20:D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16" fitToHeight="2" orientation="landscape" verticalDpi="180" r:id="rId9"/>
    </customSheetView>
    <customSheetView guid="{6D6F00BA-5393-49B6-B3BC-C80F08FA7E30}" scale="90" showPageBreaks="1" fitToPage="1">
      <pane ySplit="11" topLeftCell="A30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F22" sqref="F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C20" sqref="C20:D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34" fitToHeight="2" orientation="landscape" verticalDpi="180" r:id="rId16"/>
    </customSheetView>
  </customSheetViews>
  <mergeCells count="32">
    <mergeCell ref="D12:H12"/>
    <mergeCell ref="D18:K18"/>
    <mergeCell ref="Q8:R8"/>
    <mergeCell ref="E9:E10"/>
    <mergeCell ref="F9:F10"/>
    <mergeCell ref="M9:M10"/>
    <mergeCell ref="N9:N10"/>
    <mergeCell ref="Q9:Q10"/>
    <mergeCell ref="R9:R10"/>
    <mergeCell ref="K7:K10"/>
    <mergeCell ref="L7:N7"/>
    <mergeCell ref="O7:O10"/>
    <mergeCell ref="P7:R7"/>
    <mergeCell ref="M8:N8"/>
    <mergeCell ref="I6:I10"/>
    <mergeCell ref="J6:J10"/>
    <mergeCell ref="A2:R2"/>
    <mergeCell ref="A4:R4"/>
    <mergeCell ref="A6:A10"/>
    <mergeCell ref="B6:B10"/>
    <mergeCell ref="C6:H6"/>
    <mergeCell ref="K6:N6"/>
    <mergeCell ref="O6:R6"/>
    <mergeCell ref="C7:C10"/>
    <mergeCell ref="D7:F7"/>
    <mergeCell ref="G7:H7"/>
    <mergeCell ref="D8:D10"/>
    <mergeCell ref="E8:F8"/>
    <mergeCell ref="G8:G10"/>
    <mergeCell ref="H8:H10"/>
    <mergeCell ref="L8:L10"/>
    <mergeCell ref="P8:P10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verticalDpi="180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X27"/>
  <sheetViews>
    <sheetView zoomScaleNormal="100" workbookViewId="0">
      <pane ySplit="11" topLeftCell="A21" activePane="bottomLeft" state="frozen"/>
      <selection activeCell="H14" sqref="H14"/>
      <selection pane="bottomLeft" activeCell="J15" sqref="J15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5.140625" style="2" customWidth="1"/>
    <col min="12" max="12" width="34.5703125" style="2" customWidth="1"/>
    <col min="13" max="14" width="16.5703125" style="2" customWidth="1"/>
    <col min="15" max="22" width="19.5703125" style="2" customWidth="1"/>
    <col min="23" max="24" width="9.140625" style="19"/>
    <col min="25" max="16384" width="9.140625" style="2"/>
  </cols>
  <sheetData>
    <row r="2" spans="1:22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</row>
    <row r="3" spans="1:22" ht="6" customHeight="1" x14ac:dyDescent="0.3"/>
    <row r="4" spans="1:22" s="19" customFormat="1" ht="18.75" x14ac:dyDescent="0.3">
      <c r="A4" s="304" t="s">
        <v>50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</row>
    <row r="5" spans="1:22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</row>
    <row r="6" spans="1:22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92" t="s">
        <v>21</v>
      </c>
      <c r="H6" s="293"/>
      <c r="I6" s="293"/>
      <c r="J6" s="293"/>
      <c r="K6" s="293"/>
      <c r="L6" s="294"/>
      <c r="M6" s="285" t="s">
        <v>447</v>
      </c>
      <c r="N6" s="285" t="s">
        <v>448</v>
      </c>
      <c r="O6" s="277" t="s">
        <v>22</v>
      </c>
      <c r="P6" s="277"/>
      <c r="Q6" s="277"/>
      <c r="R6" s="277"/>
      <c r="S6" s="277" t="s">
        <v>41</v>
      </c>
      <c r="T6" s="277"/>
      <c r="U6" s="277"/>
      <c r="V6" s="277"/>
    </row>
    <row r="7" spans="1:22" s="19" customFormat="1" ht="57.75" customHeight="1" x14ac:dyDescent="0.25">
      <c r="A7" s="270"/>
      <c r="B7" s="271"/>
      <c r="C7" s="271" t="s">
        <v>396</v>
      </c>
      <c r="D7" s="271"/>
      <c r="E7" s="271" t="s">
        <v>397</v>
      </c>
      <c r="F7" s="271"/>
      <c r="G7" s="283" t="s">
        <v>8</v>
      </c>
      <c r="H7" s="274" t="s">
        <v>23</v>
      </c>
      <c r="I7" s="275"/>
      <c r="J7" s="275"/>
      <c r="K7" s="271" t="s">
        <v>24</v>
      </c>
      <c r="L7" s="271"/>
      <c r="M7" s="286"/>
      <c r="N7" s="286"/>
      <c r="O7" s="271" t="s">
        <v>8</v>
      </c>
      <c r="P7" s="274" t="s">
        <v>23</v>
      </c>
      <c r="Q7" s="275"/>
      <c r="R7" s="275"/>
      <c r="S7" s="271" t="s">
        <v>8</v>
      </c>
      <c r="T7" s="276" t="s">
        <v>23</v>
      </c>
      <c r="U7" s="276"/>
      <c r="V7" s="276"/>
    </row>
    <row r="8" spans="1:22" s="19" customFormat="1" ht="18.75" customHeight="1" x14ac:dyDescent="0.25">
      <c r="A8" s="270"/>
      <c r="B8" s="271"/>
      <c r="C8" s="271" t="s">
        <v>8</v>
      </c>
      <c r="D8" s="271" t="s">
        <v>410</v>
      </c>
      <c r="E8" s="271" t="s">
        <v>8</v>
      </c>
      <c r="F8" s="271" t="s">
        <v>410</v>
      </c>
      <c r="G8" s="283"/>
      <c r="H8" s="271" t="s">
        <v>15</v>
      </c>
      <c r="I8" s="276" t="s">
        <v>16</v>
      </c>
      <c r="J8" s="276"/>
      <c r="K8" s="288" t="s">
        <v>9</v>
      </c>
      <c r="L8" s="272" t="s">
        <v>20</v>
      </c>
      <c r="M8" s="286"/>
      <c r="N8" s="286"/>
      <c r="O8" s="271"/>
      <c r="P8" s="271" t="s">
        <v>15</v>
      </c>
      <c r="Q8" s="276" t="s">
        <v>16</v>
      </c>
      <c r="R8" s="276"/>
      <c r="S8" s="271"/>
      <c r="T8" s="271" t="s">
        <v>15</v>
      </c>
      <c r="U8" s="276" t="s">
        <v>16</v>
      </c>
      <c r="V8" s="276"/>
    </row>
    <row r="9" spans="1:22" s="19" customFormat="1" ht="39.75" customHeight="1" x14ac:dyDescent="0.25">
      <c r="A9" s="270"/>
      <c r="B9" s="271"/>
      <c r="C9" s="271"/>
      <c r="D9" s="271"/>
      <c r="E9" s="271"/>
      <c r="F9" s="271"/>
      <c r="G9" s="283"/>
      <c r="H9" s="271"/>
      <c r="I9" s="271" t="s">
        <v>17</v>
      </c>
      <c r="J9" s="272" t="s">
        <v>18</v>
      </c>
      <c r="K9" s="289"/>
      <c r="L9" s="284"/>
      <c r="M9" s="286"/>
      <c r="N9" s="286"/>
      <c r="O9" s="271"/>
      <c r="P9" s="271"/>
      <c r="Q9" s="271" t="s">
        <v>17</v>
      </c>
      <c r="R9" s="272" t="s">
        <v>18</v>
      </c>
      <c r="S9" s="271"/>
      <c r="T9" s="271"/>
      <c r="U9" s="271" t="s">
        <v>17</v>
      </c>
      <c r="V9" s="272" t="s">
        <v>18</v>
      </c>
    </row>
    <row r="10" spans="1:22" s="19" customFormat="1" ht="51.75" customHeight="1" x14ac:dyDescent="0.25">
      <c r="A10" s="270"/>
      <c r="B10" s="271"/>
      <c r="C10" s="271"/>
      <c r="D10" s="271"/>
      <c r="E10" s="271"/>
      <c r="F10" s="271"/>
      <c r="G10" s="283"/>
      <c r="H10" s="271"/>
      <c r="I10" s="271"/>
      <c r="J10" s="273"/>
      <c r="K10" s="290"/>
      <c r="L10" s="273"/>
      <c r="M10" s="287"/>
      <c r="N10" s="287"/>
      <c r="O10" s="271"/>
      <c r="P10" s="271"/>
      <c r="Q10" s="271"/>
      <c r="R10" s="273"/>
      <c r="S10" s="271"/>
      <c r="T10" s="271"/>
      <c r="U10" s="271"/>
      <c r="V10" s="273"/>
    </row>
    <row r="11" spans="1:22" s="245" customFormat="1" ht="16.5" customHeight="1" x14ac:dyDescent="0.3">
      <c r="A11" s="233">
        <v>1</v>
      </c>
      <c r="B11" s="238">
        <v>2</v>
      </c>
      <c r="C11" s="238"/>
      <c r="D11" s="238"/>
      <c r="E11" s="238"/>
      <c r="F11" s="238"/>
      <c r="G11" s="244">
        <v>3</v>
      </c>
      <c r="H11" s="233">
        <v>4</v>
      </c>
      <c r="I11" s="238">
        <v>5</v>
      </c>
      <c r="J11" s="244">
        <v>6</v>
      </c>
      <c r="K11" s="238">
        <v>7</v>
      </c>
      <c r="L11" s="244">
        <v>8</v>
      </c>
      <c r="M11" s="249"/>
      <c r="N11" s="249"/>
      <c r="O11" s="244">
        <v>9</v>
      </c>
      <c r="P11" s="233">
        <v>10</v>
      </c>
      <c r="Q11" s="238">
        <v>11</v>
      </c>
      <c r="R11" s="244">
        <v>12</v>
      </c>
      <c r="S11" s="244">
        <v>13</v>
      </c>
      <c r="T11" s="233">
        <v>14</v>
      </c>
      <c r="U11" s="238">
        <v>15</v>
      </c>
      <c r="V11" s="244">
        <v>16</v>
      </c>
    </row>
    <row r="12" spans="1:22" s="29" customFormat="1" ht="28.5" x14ac:dyDescent="0.25">
      <c r="A12" s="241">
        <v>1</v>
      </c>
      <c r="B12" s="87" t="s">
        <v>361</v>
      </c>
      <c r="C12" s="87">
        <f>C14+C15+C16</f>
        <v>0</v>
      </c>
      <c r="D12" s="87">
        <f t="shared" ref="D12:F12" si="0">D14+D15+D16</f>
        <v>10422093.539999999</v>
      </c>
      <c r="E12" s="87">
        <f t="shared" si="0"/>
        <v>0</v>
      </c>
      <c r="F12" s="87">
        <f t="shared" si="0"/>
        <v>8412021.1799999997</v>
      </c>
      <c r="G12" s="77">
        <f>G14+G15+G16</f>
        <v>0</v>
      </c>
      <c r="H12" s="77">
        <f t="shared" ref="H12:V12" si="1">H14+H15+H16</f>
        <v>11019854.630000001</v>
      </c>
      <c r="I12" s="77">
        <f t="shared" si="1"/>
        <v>0</v>
      </c>
      <c r="J12" s="77">
        <f t="shared" si="1"/>
        <v>11019854.630000001</v>
      </c>
      <c r="K12" s="77">
        <f t="shared" si="1"/>
        <v>515634.05</v>
      </c>
      <c r="L12" s="129"/>
      <c r="M12" s="130"/>
      <c r="N12" s="130"/>
      <c r="O12" s="77">
        <f t="shared" si="1"/>
        <v>0</v>
      </c>
      <c r="P12" s="77">
        <f t="shared" si="1"/>
        <v>7958578.9500000002</v>
      </c>
      <c r="Q12" s="77">
        <f t="shared" si="1"/>
        <v>0</v>
      </c>
      <c r="R12" s="77">
        <f t="shared" si="1"/>
        <v>7958578.9500000002</v>
      </c>
      <c r="S12" s="77">
        <f t="shared" si="1"/>
        <v>0</v>
      </c>
      <c r="T12" s="77">
        <f t="shared" si="1"/>
        <v>7811478.9500000002</v>
      </c>
      <c r="U12" s="77">
        <f t="shared" si="1"/>
        <v>0</v>
      </c>
      <c r="V12" s="77">
        <f t="shared" si="1"/>
        <v>7811478.9500000002</v>
      </c>
    </row>
    <row r="13" spans="1:22" s="25" customFormat="1" x14ac:dyDescent="0.25">
      <c r="A13" s="242"/>
      <c r="B13" s="27" t="s">
        <v>1</v>
      </c>
      <c r="C13" s="27"/>
      <c r="D13" s="27"/>
      <c r="E13" s="27"/>
      <c r="F13" s="27"/>
      <c r="G13" s="23"/>
      <c r="H13" s="23">
        <f t="shared" ref="H13:H16" si="2">I13+J13</f>
        <v>0</v>
      </c>
      <c r="I13" s="23"/>
      <c r="J13" s="23"/>
      <c r="K13" s="23"/>
      <c r="L13" s="24"/>
      <c r="M13" s="73"/>
      <c r="N13" s="73"/>
      <c r="O13" s="23"/>
      <c r="P13" s="23">
        <f t="shared" ref="P13:P16" si="3">Q13+R13</f>
        <v>0</v>
      </c>
      <c r="Q13" s="23"/>
      <c r="R13" s="23"/>
      <c r="S13" s="23"/>
      <c r="T13" s="23">
        <f t="shared" ref="T13:T16" si="4">U13+V13</f>
        <v>0</v>
      </c>
      <c r="U13" s="23"/>
      <c r="V13" s="23"/>
    </row>
    <row r="14" spans="1:22" s="25" customFormat="1" x14ac:dyDescent="0.25">
      <c r="A14" s="243" t="s">
        <v>4</v>
      </c>
      <c r="B14" s="28" t="s">
        <v>2</v>
      </c>
      <c r="C14" s="28"/>
      <c r="D14" s="28">
        <v>9603437.1799999997</v>
      </c>
      <c r="E14" s="28"/>
      <c r="F14" s="28">
        <v>7823354.3700000001</v>
      </c>
      <c r="G14" s="23"/>
      <c r="H14" s="23">
        <f t="shared" si="2"/>
        <v>10569854.630000001</v>
      </c>
      <c r="I14" s="23"/>
      <c r="J14" s="23">
        <f>7849478.95+2346986.28+373389.4</f>
        <v>10569854.630000001</v>
      </c>
      <c r="K14" s="23">
        <f>2346986.28-2346986.28</f>
        <v>0</v>
      </c>
      <c r="L14" s="24"/>
      <c r="M14" s="73"/>
      <c r="N14" s="73"/>
      <c r="O14" s="23"/>
      <c r="P14" s="23">
        <f t="shared" si="3"/>
        <v>7958578.9500000002</v>
      </c>
      <c r="Q14" s="23"/>
      <c r="R14" s="23">
        <v>7958578.9500000002</v>
      </c>
      <c r="S14" s="23"/>
      <c r="T14" s="23">
        <f t="shared" si="4"/>
        <v>7811478.9500000002</v>
      </c>
      <c r="U14" s="23"/>
      <c r="V14" s="23">
        <v>7811478.9500000002</v>
      </c>
    </row>
    <row r="15" spans="1:22" s="29" customFormat="1" ht="45" x14ac:dyDescent="0.25">
      <c r="A15" s="243" t="s">
        <v>6</v>
      </c>
      <c r="B15" s="30" t="s">
        <v>11</v>
      </c>
      <c r="C15" s="30"/>
      <c r="D15" s="30"/>
      <c r="E15" s="30"/>
      <c r="F15" s="30"/>
      <c r="G15" s="23"/>
      <c r="H15" s="23">
        <f t="shared" si="2"/>
        <v>0</v>
      </c>
      <c r="I15" s="23"/>
      <c r="J15" s="23">
        <v>0</v>
      </c>
      <c r="K15" s="23">
        <v>47087.05</v>
      </c>
      <c r="L15" s="30" t="s">
        <v>373</v>
      </c>
      <c r="M15" s="182"/>
      <c r="N15" s="182"/>
      <c r="O15" s="23"/>
      <c r="P15" s="23">
        <f>Q15+R15</f>
        <v>0</v>
      </c>
      <c r="Q15" s="23"/>
      <c r="R15" s="23">
        <v>0</v>
      </c>
      <c r="S15" s="23"/>
      <c r="T15" s="23">
        <f>U15+V15</f>
        <v>0</v>
      </c>
      <c r="U15" s="23"/>
      <c r="V15" s="23">
        <v>0</v>
      </c>
    </row>
    <row r="16" spans="1:22" s="29" customFormat="1" ht="120" x14ac:dyDescent="0.25">
      <c r="A16" s="243" t="s">
        <v>7</v>
      </c>
      <c r="B16" s="30" t="s">
        <v>13</v>
      </c>
      <c r="C16" s="30"/>
      <c r="D16" s="30">
        <v>818656.36</v>
      </c>
      <c r="E16" s="30"/>
      <c r="F16" s="30">
        <v>588666.81000000006</v>
      </c>
      <c r="G16" s="31"/>
      <c r="H16" s="23">
        <f t="shared" si="2"/>
        <v>450000</v>
      </c>
      <c r="I16" s="31"/>
      <c r="J16" s="23">
        <v>450000</v>
      </c>
      <c r="K16" s="23">
        <v>468547</v>
      </c>
      <c r="L16" s="183" t="s">
        <v>372</v>
      </c>
      <c r="M16" s="76"/>
      <c r="N16" s="76"/>
      <c r="O16" s="31"/>
      <c r="P16" s="23">
        <f t="shared" si="3"/>
        <v>0</v>
      </c>
      <c r="Q16" s="31"/>
      <c r="R16" s="31">
        <v>0</v>
      </c>
      <c r="S16" s="31"/>
      <c r="T16" s="23">
        <f t="shared" si="4"/>
        <v>0</v>
      </c>
      <c r="U16" s="31"/>
      <c r="V16" s="31">
        <v>0</v>
      </c>
    </row>
    <row r="17" spans="1:22" s="29" customFormat="1" ht="64.5" customHeight="1" x14ac:dyDescent="0.25">
      <c r="A17" s="241">
        <v>1</v>
      </c>
      <c r="B17" s="87" t="s">
        <v>352</v>
      </c>
      <c r="C17" s="87">
        <f>C18+C19</f>
        <v>5877900</v>
      </c>
      <c r="D17" s="87">
        <f t="shared" ref="D17:F17" si="5">D18+D19</f>
        <v>471556.06</v>
      </c>
      <c r="E17" s="87">
        <f t="shared" si="5"/>
        <v>755252.28</v>
      </c>
      <c r="F17" s="87">
        <f t="shared" si="5"/>
        <v>39750.120000000003</v>
      </c>
      <c r="G17" s="77">
        <v>5977800</v>
      </c>
      <c r="H17" s="77">
        <f>I17+J17</f>
        <v>314621.05</v>
      </c>
      <c r="I17" s="184">
        <f>I18+I19</f>
        <v>314621.05</v>
      </c>
      <c r="J17" s="77">
        <f>J18+J19</f>
        <v>0</v>
      </c>
      <c r="K17" s="77">
        <v>0</v>
      </c>
      <c r="L17" s="77"/>
      <c r="M17" s="185"/>
      <c r="N17" s="185"/>
      <c r="O17" s="77">
        <f>O18+O19</f>
        <v>5977800</v>
      </c>
      <c r="P17" s="77">
        <f>Q17+R17</f>
        <v>314621.05</v>
      </c>
      <c r="Q17" s="77">
        <f>Q18+Q19</f>
        <v>314621.05</v>
      </c>
      <c r="R17" s="77">
        <f>R18+R19</f>
        <v>0</v>
      </c>
      <c r="S17" s="77">
        <f>S18+S19</f>
        <v>5977800</v>
      </c>
      <c r="T17" s="77">
        <f>U17+V17</f>
        <v>314621.05</v>
      </c>
      <c r="U17" s="77">
        <f>U18+U19</f>
        <v>314621.05</v>
      </c>
      <c r="V17" s="77">
        <f>V18+V19</f>
        <v>0</v>
      </c>
    </row>
    <row r="18" spans="1:22" s="29" customFormat="1" ht="30" x14ac:dyDescent="0.25">
      <c r="A18" s="243">
        <v>1</v>
      </c>
      <c r="B18" s="22" t="s">
        <v>351</v>
      </c>
      <c r="C18" s="22">
        <v>5877900</v>
      </c>
      <c r="D18" s="22">
        <v>471556.06</v>
      </c>
      <c r="E18" s="22">
        <v>755252.28</v>
      </c>
      <c r="F18" s="22">
        <v>39750.120000000003</v>
      </c>
      <c r="G18" s="23">
        <v>5977800</v>
      </c>
      <c r="H18" s="23">
        <f>I18+J18</f>
        <v>314621.05</v>
      </c>
      <c r="I18" s="186">
        <v>314621.05</v>
      </c>
      <c r="J18" s="23">
        <v>0</v>
      </c>
      <c r="K18" s="23">
        <v>0</v>
      </c>
      <c r="L18" s="32"/>
      <c r="M18" s="75"/>
      <c r="N18" s="75"/>
      <c r="O18" s="23">
        <v>5977800</v>
      </c>
      <c r="P18" s="23">
        <f>Q18+R18</f>
        <v>314621.05</v>
      </c>
      <c r="Q18" s="23">
        <v>314621.05</v>
      </c>
      <c r="R18" s="23">
        <v>0</v>
      </c>
      <c r="S18" s="23">
        <v>5977800</v>
      </c>
      <c r="T18" s="23">
        <f>U18+V18</f>
        <v>314621.05</v>
      </c>
      <c r="U18" s="23">
        <v>314621.05</v>
      </c>
      <c r="V18" s="23">
        <v>0</v>
      </c>
    </row>
    <row r="19" spans="1:22" s="11" customFormat="1" ht="45" x14ac:dyDescent="0.25">
      <c r="A19" s="236">
        <v>2</v>
      </c>
      <c r="B19" s="13" t="s">
        <v>347</v>
      </c>
      <c r="C19" s="13"/>
      <c r="D19" s="13"/>
      <c r="E19" s="13"/>
      <c r="F19" s="13"/>
      <c r="G19" s="8"/>
      <c r="H19" s="8">
        <v>300000</v>
      </c>
      <c r="I19" s="8"/>
      <c r="J19" s="8">
        <v>0</v>
      </c>
      <c r="K19" s="8">
        <v>300000</v>
      </c>
      <c r="L19" s="34"/>
      <c r="M19" s="9">
        <f>K19</f>
        <v>300000</v>
      </c>
      <c r="N19" s="42"/>
      <c r="O19" s="8">
        <v>0</v>
      </c>
      <c r="P19" s="8">
        <f t="shared" ref="P19" si="6">Q19+R19</f>
        <v>0</v>
      </c>
      <c r="Q19" s="8">
        <v>0</v>
      </c>
      <c r="R19" s="8">
        <v>0</v>
      </c>
      <c r="S19" s="8">
        <v>0</v>
      </c>
      <c r="T19" s="8">
        <f t="shared" ref="T19" si="7">U19+V19</f>
        <v>0</v>
      </c>
      <c r="U19" s="8">
        <v>0</v>
      </c>
      <c r="V19" s="8">
        <v>0</v>
      </c>
    </row>
    <row r="20" spans="1:22" s="11" customFormat="1" ht="13.9" x14ac:dyDescent="0.25">
      <c r="A20" s="236"/>
      <c r="B20" s="13"/>
      <c r="C20" s="13"/>
      <c r="D20" s="13"/>
      <c r="E20" s="13"/>
      <c r="F20" s="13"/>
      <c r="G20" s="8"/>
      <c r="H20" s="8"/>
      <c r="I20" s="8"/>
      <c r="J20" s="8"/>
      <c r="K20" s="8"/>
      <c r="L20" s="34"/>
      <c r="M20" s="42"/>
      <c r="N20" s="42"/>
      <c r="O20" s="8"/>
      <c r="P20" s="8"/>
      <c r="Q20" s="8"/>
      <c r="R20" s="8"/>
      <c r="S20" s="8"/>
      <c r="T20" s="8"/>
      <c r="U20" s="8"/>
      <c r="V20" s="8"/>
    </row>
    <row r="21" spans="1:22" s="1" customFormat="1" x14ac:dyDescent="0.25">
      <c r="A21" s="237"/>
      <c r="B21" s="15" t="s">
        <v>14</v>
      </c>
      <c r="C21" s="15">
        <f>C12+C17</f>
        <v>5877900</v>
      </c>
      <c r="D21" s="15">
        <f t="shared" ref="D21:F21" si="8">D12+D17</f>
        <v>10893649.6</v>
      </c>
      <c r="E21" s="15">
        <f t="shared" si="8"/>
        <v>755252.28</v>
      </c>
      <c r="F21" s="15">
        <f t="shared" si="8"/>
        <v>8451771.2999999989</v>
      </c>
      <c r="G21" s="16">
        <f>G12+G17</f>
        <v>5977800</v>
      </c>
      <c r="H21" s="16">
        <f t="shared" ref="H21:V21" si="9">H12+H17</f>
        <v>11334475.680000002</v>
      </c>
      <c r="I21" s="16">
        <f t="shared" si="9"/>
        <v>314621.05</v>
      </c>
      <c r="J21" s="16">
        <f t="shared" si="9"/>
        <v>11019854.630000001</v>
      </c>
      <c r="K21" s="16">
        <f t="shared" si="9"/>
        <v>515634.05</v>
      </c>
      <c r="L21" s="16"/>
      <c r="M21" s="18">
        <f>SUM(M12:M20)</f>
        <v>300000</v>
      </c>
      <c r="N21" s="18">
        <v>0</v>
      </c>
      <c r="O21" s="16">
        <f t="shared" si="9"/>
        <v>5977800</v>
      </c>
      <c r="P21" s="16">
        <f t="shared" si="9"/>
        <v>8273200</v>
      </c>
      <c r="Q21" s="16">
        <f t="shared" si="9"/>
        <v>314621.05</v>
      </c>
      <c r="R21" s="16">
        <f t="shared" si="9"/>
        <v>7958578.9500000002</v>
      </c>
      <c r="S21" s="16">
        <f t="shared" si="9"/>
        <v>5977800</v>
      </c>
      <c r="T21" s="16">
        <f t="shared" si="9"/>
        <v>8126100</v>
      </c>
      <c r="U21" s="16">
        <f t="shared" si="9"/>
        <v>314621.05</v>
      </c>
      <c r="V21" s="16">
        <f t="shared" si="9"/>
        <v>7811478.9500000002</v>
      </c>
    </row>
    <row r="24" spans="1:22" ht="14.45" x14ac:dyDescent="0.3">
      <c r="G24" s="187"/>
    </row>
    <row r="27" spans="1:22" ht="14.45" x14ac:dyDescent="0.3">
      <c r="G27" s="58"/>
    </row>
  </sheetData>
  <customSheetViews>
    <customSheetView guid="{F55D2626-B25D-4865-88D7-A4040A583D45}" scale="90" showPageBreaks="1" fitToPage="1" topLeftCell="D1">
      <pane ySplit="11" topLeftCell="A12" activePane="bottomLeft" state="frozen"/>
      <selection pane="bottomLeft" activeCell="M21" sqref="M21:N21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B1">
      <pane ySplit="11" topLeftCell="A12" activePane="bottomLeft" state="frozen"/>
      <selection pane="bottomLeft" activeCell="M16" sqref="M16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B15" sqref="B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4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14" sqref="F14: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E26" sqref="E2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4" activePane="bottomLeft" state="frozen"/>
      <selection pane="bottomLeft" activeCell="B25" sqref="B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4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4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24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D14" sqref="D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 topLeftCell="B1">
      <pane xSplit="1" ySplit="11" topLeftCell="C12" activePane="bottomRight" state="frozen"/>
      <selection pane="bottomRight" activeCell="C6" sqref="C6:F10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7">
    <mergeCell ref="C6:F6"/>
    <mergeCell ref="C7:D7"/>
    <mergeCell ref="E7:F7"/>
    <mergeCell ref="C8:C10"/>
    <mergeCell ref="D8:D10"/>
    <mergeCell ref="E8:E10"/>
    <mergeCell ref="F8:F10"/>
    <mergeCell ref="U8:V8"/>
    <mergeCell ref="I9:I10"/>
    <mergeCell ref="J9:J10"/>
    <mergeCell ref="Q9:Q10"/>
    <mergeCell ref="R9:R10"/>
    <mergeCell ref="U9:U10"/>
    <mergeCell ref="V9:V10"/>
    <mergeCell ref="O7:O10"/>
    <mergeCell ref="P7:R7"/>
    <mergeCell ref="S7:S10"/>
    <mergeCell ref="T7:V7"/>
    <mergeCell ref="Q8:R8"/>
    <mergeCell ref="M6:M10"/>
    <mergeCell ref="N6:N10"/>
    <mergeCell ref="A2:V2"/>
    <mergeCell ref="A4:V4"/>
    <mergeCell ref="A6:A10"/>
    <mergeCell ref="B6:B10"/>
    <mergeCell ref="G6:L6"/>
    <mergeCell ref="O6:R6"/>
    <mergeCell ref="S6:V6"/>
    <mergeCell ref="G7:G10"/>
    <mergeCell ref="H7:J7"/>
    <mergeCell ref="K7:L7"/>
    <mergeCell ref="H8:H10"/>
    <mergeCell ref="I8:J8"/>
    <mergeCell ref="K8:K10"/>
    <mergeCell ref="L8:L10"/>
    <mergeCell ref="P8:P10"/>
    <mergeCell ref="T8:T10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6"/>
  <sheetViews>
    <sheetView zoomScaleNormal="10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2.7109375" style="2" customWidth="1"/>
    <col min="12" max="12" width="17.5703125" style="2" customWidth="1"/>
    <col min="13" max="13" width="31.285156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3">
      <c r="A4" s="303" t="s">
        <v>51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5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8.2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45" x14ac:dyDescent="0.25">
      <c r="A12" s="234">
        <v>1</v>
      </c>
      <c r="B12" s="13" t="s">
        <v>278</v>
      </c>
      <c r="C12" s="13">
        <f>C14</f>
        <v>0</v>
      </c>
      <c r="D12" s="13">
        <f t="shared" ref="D12:F12" si="0">D14</f>
        <v>40000</v>
      </c>
      <c r="E12" s="13">
        <f t="shared" si="0"/>
        <v>0</v>
      </c>
      <c r="F12" s="13">
        <f t="shared" si="0"/>
        <v>0</v>
      </c>
      <c r="G12" s="13">
        <f>H12+I12</f>
        <v>32400</v>
      </c>
      <c r="H12" s="8">
        <f>H14</f>
        <v>0</v>
      </c>
      <c r="I12" s="8">
        <f>I14</f>
        <v>32400</v>
      </c>
      <c r="J12" s="8">
        <f>J14</f>
        <v>0</v>
      </c>
      <c r="K12" s="8">
        <f>K14</f>
        <v>32400</v>
      </c>
      <c r="L12" s="8">
        <f>L14</f>
        <v>348600</v>
      </c>
      <c r="M12" s="38"/>
      <c r="N12" s="36"/>
      <c r="O12" s="36"/>
      <c r="P12" s="8">
        <f t="shared" ref="P12:W12" si="1">P14</f>
        <v>0</v>
      </c>
      <c r="Q12" s="8">
        <f t="shared" si="1"/>
        <v>32800</v>
      </c>
      <c r="R12" s="8">
        <f t="shared" si="1"/>
        <v>0</v>
      </c>
      <c r="S12" s="8">
        <f t="shared" si="1"/>
        <v>32800</v>
      </c>
      <c r="T12" s="8">
        <f t="shared" si="1"/>
        <v>0</v>
      </c>
      <c r="U12" s="8">
        <f t="shared" si="1"/>
        <v>32200</v>
      </c>
      <c r="V12" s="8">
        <f t="shared" si="1"/>
        <v>0</v>
      </c>
      <c r="W12" s="8">
        <f t="shared" si="1"/>
        <v>32200</v>
      </c>
    </row>
    <row r="13" spans="1:23" s="25" customFormat="1" x14ac:dyDescent="0.25">
      <c r="A13" s="233"/>
      <c r="B13" s="37" t="s">
        <v>1</v>
      </c>
      <c r="C13" s="37"/>
      <c r="D13" s="37"/>
      <c r="E13" s="37"/>
      <c r="F13" s="37"/>
      <c r="G13" s="13">
        <f t="shared" ref="G13:G16" si="2">H13+I13</f>
        <v>0</v>
      </c>
      <c r="H13" s="8"/>
      <c r="I13" s="8">
        <f t="shared" ref="I13" si="3">J13+K13</f>
        <v>0</v>
      </c>
      <c r="J13" s="8"/>
      <c r="K13" s="8"/>
      <c r="L13" s="8"/>
      <c r="M13" s="38"/>
      <c r="N13" s="36"/>
      <c r="O13" s="36"/>
      <c r="P13" s="8"/>
      <c r="Q13" s="8">
        <f t="shared" ref="Q13:Q14" si="4">R13+S13</f>
        <v>0</v>
      </c>
      <c r="R13" s="8"/>
      <c r="S13" s="8"/>
      <c r="T13" s="8"/>
      <c r="U13" s="8">
        <f t="shared" ref="U13:U14" si="5">V13+W13</f>
        <v>0</v>
      </c>
      <c r="V13" s="8"/>
      <c r="W13" s="8"/>
    </row>
    <row r="14" spans="1:23" s="41" customFormat="1" ht="30" x14ac:dyDescent="0.25">
      <c r="A14" s="236" t="s">
        <v>4</v>
      </c>
      <c r="B14" s="39" t="s">
        <v>141</v>
      </c>
      <c r="C14" s="39">
        <v>0</v>
      </c>
      <c r="D14" s="39">
        <v>40000</v>
      </c>
      <c r="E14" s="39">
        <v>0</v>
      </c>
      <c r="F14" s="39">
        <v>0</v>
      </c>
      <c r="G14" s="13">
        <f t="shared" si="2"/>
        <v>32400</v>
      </c>
      <c r="H14" s="8"/>
      <c r="I14" s="8">
        <f>J14+K14</f>
        <v>32400</v>
      </c>
      <c r="J14" s="8"/>
      <c r="K14" s="8">
        <v>32400</v>
      </c>
      <c r="L14" s="8">
        <f>381000-K14</f>
        <v>348600</v>
      </c>
      <c r="M14" s="39" t="s">
        <v>102</v>
      </c>
      <c r="N14" s="9">
        <v>300000</v>
      </c>
      <c r="O14" s="40"/>
      <c r="P14" s="8"/>
      <c r="Q14" s="8">
        <f t="shared" si="4"/>
        <v>32800</v>
      </c>
      <c r="R14" s="8">
        <v>0</v>
      </c>
      <c r="S14" s="8">
        <v>32800</v>
      </c>
      <c r="T14" s="8"/>
      <c r="U14" s="8">
        <f t="shared" si="5"/>
        <v>32200</v>
      </c>
      <c r="V14" s="8">
        <v>0</v>
      </c>
      <c r="W14" s="8">
        <v>32200</v>
      </c>
    </row>
    <row r="15" spans="1:23" s="41" customFormat="1" ht="13.9" x14ac:dyDescent="0.25">
      <c r="A15" s="236"/>
      <c r="B15" s="39"/>
      <c r="C15" s="39"/>
      <c r="D15" s="39"/>
      <c r="E15" s="39"/>
      <c r="F15" s="39"/>
      <c r="G15" s="13"/>
      <c r="H15" s="8"/>
      <c r="I15" s="8"/>
      <c r="J15" s="8"/>
      <c r="K15" s="8"/>
      <c r="L15" s="8"/>
      <c r="M15" s="39"/>
      <c r="N15" s="42"/>
      <c r="O15" s="42"/>
      <c r="P15" s="8"/>
      <c r="Q15" s="8"/>
      <c r="R15" s="8"/>
      <c r="S15" s="8"/>
      <c r="T15" s="8"/>
      <c r="U15" s="8"/>
      <c r="V15" s="8"/>
      <c r="W15" s="8"/>
    </row>
    <row r="16" spans="1:23" s="35" customFormat="1" x14ac:dyDescent="0.25">
      <c r="A16" s="237"/>
      <c r="B16" s="15" t="s">
        <v>14</v>
      </c>
      <c r="C16" s="15">
        <f>C12</f>
        <v>0</v>
      </c>
      <c r="D16" s="15">
        <f t="shared" ref="D16:F16" si="6">D12</f>
        <v>40000</v>
      </c>
      <c r="E16" s="15">
        <f t="shared" si="6"/>
        <v>0</v>
      </c>
      <c r="F16" s="15">
        <f t="shared" si="6"/>
        <v>0</v>
      </c>
      <c r="G16" s="13">
        <f t="shared" si="2"/>
        <v>32400</v>
      </c>
      <c r="H16" s="16">
        <f>H12</f>
        <v>0</v>
      </c>
      <c r="I16" s="16">
        <f>I12</f>
        <v>32400</v>
      </c>
      <c r="J16" s="16">
        <f t="shared" ref="J16:L16" si="7">J12</f>
        <v>0</v>
      </c>
      <c r="K16" s="16">
        <f t="shared" si="7"/>
        <v>32400</v>
      </c>
      <c r="L16" s="16">
        <f t="shared" si="7"/>
        <v>348600</v>
      </c>
      <c r="M16" s="16"/>
      <c r="N16" s="18">
        <f>SUM(N14:N15)</f>
        <v>300000</v>
      </c>
      <c r="O16" s="18">
        <v>0</v>
      </c>
      <c r="P16" s="16">
        <f>P12</f>
        <v>0</v>
      </c>
      <c r="Q16" s="16">
        <f t="shared" ref="Q16:W16" si="8">Q12</f>
        <v>32800</v>
      </c>
      <c r="R16" s="16">
        <f t="shared" si="8"/>
        <v>0</v>
      </c>
      <c r="S16" s="16">
        <f t="shared" si="8"/>
        <v>32800</v>
      </c>
      <c r="T16" s="16">
        <f t="shared" si="8"/>
        <v>0</v>
      </c>
      <c r="U16" s="16">
        <f t="shared" si="8"/>
        <v>32200</v>
      </c>
      <c r="V16" s="16">
        <f t="shared" si="8"/>
        <v>0</v>
      </c>
      <c r="W16" s="16">
        <f t="shared" si="8"/>
        <v>32200</v>
      </c>
    </row>
  </sheetData>
  <customSheetViews>
    <customSheetView guid="{F55D2626-B25D-4865-88D7-A4040A583D45}" scale="90" showPageBreaks="1" fitToPage="1" topLeftCell="D1">
      <pane ySplit="11" topLeftCell="A12" activePane="bottomLeft" state="frozen"/>
      <selection pane="bottomLeft" activeCell="N16" sqref="N16:O16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E1">
      <pane ySplit="11" topLeftCell="A12" activePane="bottomLeft" state="frozen"/>
      <selection pane="bottomLeft" activeCell="N14" sqref="N14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A11" sqref="A11:U11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3"/>
    </customSheetView>
    <customSheetView guid="{8286488C-3E2A-4969-AFC8-11C0D17DBFA2}" scale="90" showPageBreaks="1" fitToPage="1" topLeftCell="C1">
      <pane ySplit="11" topLeftCell="A12" activePane="bottomLeft" state="frozen"/>
      <selection pane="bottomLeft" activeCell="N15" activeCellId="2" sqref="D15 J15 N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J28" sqref="J2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N15" activeCellId="2" sqref="D15 J15 N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N15" activeCellId="2" sqref="D15 J15 N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D1" sqref="D1:D104857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hiddenRows="1" topLeftCell="H1">
      <pane ySplit="11" topLeftCell="A12" activePane="bottomLeft" state="frozen"/>
      <selection pane="bottomLeft" activeCell="P25" sqref="P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4" activePane="bottomLeft" state="frozen"/>
      <selection pane="bottomLeft" activeCell="D1" sqref="D1:D104857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4" activePane="bottomLeft" state="frozen"/>
      <selection pane="bottomLeft" activeCell="D1" sqref="D1:D104857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N15" activeCellId="2" sqref="D15 J15 N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hiddenRows="1" topLeftCell="H1">
      <pane ySplit="11" topLeftCell="A12" activePane="bottomLeft" state="frozen"/>
      <selection pane="bottomLeft" activeCell="P25" sqref="P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hiddenRows="1" topLeftCell="H1">
      <pane ySplit="11" topLeftCell="A12" activePane="bottomLeft" state="frozen"/>
      <selection pane="bottomLeft" activeCell="P25" sqref="P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G14" sqref="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2" activePane="bottomRight" state="frozen"/>
      <selection pane="bottomRight" activeCell="E19" sqref="E19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verticalDpi="180" r:id="rId1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2"/>
  <sheetViews>
    <sheetView zoomScale="90" zoomScaleNormal="90" workbookViewId="0">
      <pane ySplit="11" topLeftCell="A12" activePane="bottomLeft" state="frozen"/>
      <selection activeCell="H14" sqref="H14"/>
      <selection pane="bottomLeft" activeCell="K15" sqref="K15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4.7109375" style="2" customWidth="1"/>
    <col min="12" max="12" width="17.5703125" style="2" customWidth="1"/>
    <col min="13" max="13" width="56.42578125" style="2" customWidth="1"/>
    <col min="14" max="14" width="18.42578125" style="2" customWidth="1"/>
    <col min="15" max="15" width="17.1406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3">
      <c r="A4" s="303" t="s">
        <v>353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1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30" x14ac:dyDescent="0.25">
      <c r="A12" s="234">
        <v>1</v>
      </c>
      <c r="B12" s="13" t="s">
        <v>149</v>
      </c>
      <c r="C12" s="13">
        <v>0</v>
      </c>
      <c r="D12" s="13">
        <f>D14+D15+D16+D17</f>
        <v>9915644.6500000004</v>
      </c>
      <c r="E12" s="13">
        <v>0</v>
      </c>
      <c r="F12" s="13">
        <f>F14+F15+F16+F17</f>
        <v>6841392.3700000001</v>
      </c>
      <c r="G12" s="13">
        <f>H12+I12</f>
        <v>9816624.3100000024</v>
      </c>
      <c r="H12" s="8"/>
      <c r="I12" s="8">
        <f>J12+K12</f>
        <v>9816624.3100000024</v>
      </c>
      <c r="J12" s="8">
        <f>SUM(J14:J17)</f>
        <v>0</v>
      </c>
      <c r="K12" s="8">
        <f>SUM(K14:K17)</f>
        <v>9816624.3100000024</v>
      </c>
      <c r="L12" s="8">
        <f>SUM(L14:L17)</f>
        <v>989737.77</v>
      </c>
      <c r="M12" s="38"/>
      <c r="N12" s="36"/>
      <c r="O12" s="36"/>
      <c r="P12" s="8"/>
      <c r="Q12" s="8">
        <f>SUM(Q14:Q17)</f>
        <v>8112200</v>
      </c>
      <c r="R12" s="8"/>
      <c r="S12" s="8">
        <f>SUM(S14:S17)</f>
        <v>8112200</v>
      </c>
      <c r="T12" s="8"/>
      <c r="U12" s="8">
        <f>SUM(U14:U17)</f>
        <v>7965300</v>
      </c>
      <c r="V12" s="8"/>
      <c r="W12" s="8">
        <f>SUM(W14:W17)</f>
        <v>7965300</v>
      </c>
    </row>
    <row r="13" spans="1:23" s="25" customFormat="1" x14ac:dyDescent="0.25">
      <c r="A13" s="233"/>
      <c r="B13" s="37" t="s">
        <v>1</v>
      </c>
      <c r="C13" s="37">
        <v>0</v>
      </c>
      <c r="D13" s="37"/>
      <c r="E13" s="37">
        <v>0</v>
      </c>
      <c r="F13" s="37"/>
      <c r="G13" s="13">
        <f t="shared" ref="G13:G22" si="0">H13+I13</f>
        <v>0</v>
      </c>
      <c r="H13" s="8"/>
      <c r="I13" s="8">
        <f t="shared" ref="I13:I17" si="1">J13+K13</f>
        <v>0</v>
      </c>
      <c r="J13" s="8"/>
      <c r="K13" s="8"/>
      <c r="L13" s="8"/>
      <c r="M13" s="38"/>
      <c r="N13" s="36"/>
      <c r="O13" s="36"/>
      <c r="P13" s="8"/>
      <c r="Q13" s="8"/>
      <c r="R13" s="8"/>
      <c r="S13" s="8"/>
      <c r="T13" s="8"/>
      <c r="U13" s="8"/>
      <c r="V13" s="8"/>
      <c r="W13" s="8"/>
    </row>
    <row r="14" spans="1:23" s="41" customFormat="1" x14ac:dyDescent="0.25">
      <c r="A14" s="236" t="s">
        <v>4</v>
      </c>
      <c r="B14" s="34" t="s">
        <v>2</v>
      </c>
      <c r="C14" s="34">
        <v>0</v>
      </c>
      <c r="D14" s="34">
        <v>8700391</v>
      </c>
      <c r="E14" s="34">
        <v>0</v>
      </c>
      <c r="F14" s="34">
        <v>5983325.9100000001</v>
      </c>
      <c r="G14" s="13">
        <f t="shared" si="0"/>
        <v>9674195.6800000016</v>
      </c>
      <c r="H14" s="8"/>
      <c r="I14" s="8">
        <f t="shared" si="1"/>
        <v>9674195.6800000016</v>
      </c>
      <c r="J14" s="8"/>
      <c r="K14" s="8">
        <f>8003200+1316834.37+354161.31</f>
        <v>9674195.6800000016</v>
      </c>
      <c r="L14" s="8">
        <f>1316834.37-1316834.37</f>
        <v>0</v>
      </c>
      <c r="M14" s="34" t="s">
        <v>280</v>
      </c>
      <c r="N14" s="40"/>
      <c r="O14" s="40"/>
      <c r="P14" s="8"/>
      <c r="Q14" s="8">
        <f t="shared" ref="Q14:Q20" si="2">R14+S14</f>
        <v>8112200</v>
      </c>
      <c r="R14" s="8"/>
      <c r="S14" s="8">
        <v>8112200</v>
      </c>
      <c r="T14" s="8"/>
      <c r="U14" s="8">
        <f t="shared" ref="U14:U20" si="3">V14+W14</f>
        <v>7965300</v>
      </c>
      <c r="V14" s="8"/>
      <c r="W14" s="8">
        <v>7965300</v>
      </c>
    </row>
    <row r="15" spans="1:23" s="41" customFormat="1" ht="45" x14ac:dyDescent="0.25">
      <c r="A15" s="236" t="s">
        <v>5</v>
      </c>
      <c r="B15" s="39" t="s">
        <v>10</v>
      </c>
      <c r="C15" s="39">
        <v>0</v>
      </c>
      <c r="D15" s="39">
        <v>53200</v>
      </c>
      <c r="E15" s="39">
        <v>0</v>
      </c>
      <c r="F15" s="39">
        <v>44000</v>
      </c>
      <c r="G15" s="13">
        <f t="shared" si="0"/>
        <v>142428.63</v>
      </c>
      <c r="H15" s="8"/>
      <c r="I15" s="8">
        <f t="shared" si="1"/>
        <v>142428.63</v>
      </c>
      <c r="J15" s="8"/>
      <c r="K15" s="8">
        <f>142428.63</f>
        <v>142428.63</v>
      </c>
      <c r="L15" s="8">
        <f>142428.63-142428.63</f>
        <v>0</v>
      </c>
      <c r="M15" s="39" t="s">
        <v>281</v>
      </c>
      <c r="N15" s="42"/>
      <c r="O15" s="42"/>
      <c r="P15" s="8"/>
      <c r="Q15" s="8"/>
      <c r="R15" s="8"/>
      <c r="S15" s="8"/>
      <c r="T15" s="8"/>
      <c r="U15" s="8"/>
      <c r="V15" s="8"/>
      <c r="W15" s="8"/>
    </row>
    <row r="16" spans="1:23" s="41" customFormat="1" ht="30" x14ac:dyDescent="0.25">
      <c r="A16" s="236" t="s">
        <v>6</v>
      </c>
      <c r="B16" s="39" t="s">
        <v>11</v>
      </c>
      <c r="C16" s="39">
        <v>0</v>
      </c>
      <c r="D16" s="39">
        <v>0</v>
      </c>
      <c r="E16" s="39">
        <v>0</v>
      </c>
      <c r="F16" s="39">
        <v>0</v>
      </c>
      <c r="G16" s="13">
        <f t="shared" si="0"/>
        <v>0</v>
      </c>
      <c r="H16" s="8"/>
      <c r="I16" s="8">
        <f t="shared" si="1"/>
        <v>0</v>
      </c>
      <c r="J16" s="8"/>
      <c r="K16" s="8"/>
      <c r="L16" s="8">
        <v>36000</v>
      </c>
      <c r="M16" s="34" t="s">
        <v>282</v>
      </c>
      <c r="N16" s="42"/>
      <c r="O16" s="42"/>
      <c r="P16" s="8"/>
      <c r="Q16" s="8"/>
      <c r="R16" s="8"/>
      <c r="S16" s="8"/>
      <c r="T16" s="8"/>
      <c r="U16" s="8"/>
      <c r="V16" s="8"/>
      <c r="W16" s="8"/>
    </row>
    <row r="17" spans="1:23" s="41" customFormat="1" ht="45" x14ac:dyDescent="0.25">
      <c r="A17" s="236" t="s">
        <v>7</v>
      </c>
      <c r="B17" s="39" t="s">
        <v>13</v>
      </c>
      <c r="C17" s="39">
        <v>0</v>
      </c>
      <c r="D17" s="39">
        <v>1162053.6499999999</v>
      </c>
      <c r="E17" s="39">
        <v>0</v>
      </c>
      <c r="F17" s="39">
        <v>814066.46</v>
      </c>
      <c r="G17" s="13">
        <f t="shared" si="0"/>
        <v>0</v>
      </c>
      <c r="H17" s="61"/>
      <c r="I17" s="8">
        <f t="shared" si="1"/>
        <v>0</v>
      </c>
      <c r="J17" s="61"/>
      <c r="K17" s="61"/>
      <c r="L17" s="61">
        <v>953737.77</v>
      </c>
      <c r="M17" s="62" t="s">
        <v>283</v>
      </c>
      <c r="N17" s="42"/>
      <c r="O17" s="42"/>
      <c r="P17" s="61"/>
      <c r="Q17" s="8"/>
      <c r="R17" s="61"/>
      <c r="S17" s="61"/>
      <c r="T17" s="61"/>
      <c r="U17" s="8"/>
      <c r="V17" s="61"/>
      <c r="W17" s="61"/>
    </row>
    <row r="18" spans="1:23" s="41" customFormat="1" ht="30" x14ac:dyDescent="0.25">
      <c r="A18" s="234">
        <v>2</v>
      </c>
      <c r="B18" s="13" t="s">
        <v>284</v>
      </c>
      <c r="C18" s="13">
        <v>0</v>
      </c>
      <c r="D18" s="13">
        <f>D20</f>
        <v>150000</v>
      </c>
      <c r="E18" s="13">
        <f t="shared" ref="E18:F18" si="4">E20</f>
        <v>0</v>
      </c>
      <c r="F18" s="13">
        <f t="shared" si="4"/>
        <v>150000</v>
      </c>
      <c r="G18" s="13">
        <f t="shared" si="0"/>
        <v>150000</v>
      </c>
      <c r="H18" s="8"/>
      <c r="I18" s="8">
        <f>I20</f>
        <v>150000</v>
      </c>
      <c r="J18" s="8">
        <f>J20</f>
        <v>0</v>
      </c>
      <c r="K18" s="8">
        <f>K20</f>
        <v>150000</v>
      </c>
      <c r="L18" s="8"/>
      <c r="M18" s="38"/>
      <c r="N18" s="18"/>
      <c r="O18" s="18"/>
      <c r="P18" s="8"/>
      <c r="Q18" s="8">
        <f t="shared" si="2"/>
        <v>150000</v>
      </c>
      <c r="R18" s="8">
        <f>R20</f>
        <v>0</v>
      </c>
      <c r="S18" s="8">
        <f>S20</f>
        <v>150000</v>
      </c>
      <c r="T18" s="8">
        <f>T20</f>
        <v>0</v>
      </c>
      <c r="U18" s="8">
        <f t="shared" si="3"/>
        <v>150000</v>
      </c>
      <c r="V18" s="8">
        <f>V20</f>
        <v>0</v>
      </c>
      <c r="W18" s="8">
        <f>W20</f>
        <v>150000</v>
      </c>
    </row>
    <row r="19" spans="1:23" s="25" customFormat="1" x14ac:dyDescent="0.25">
      <c r="A19" s="233"/>
      <c r="B19" s="37" t="s">
        <v>1</v>
      </c>
      <c r="C19" s="37">
        <v>0</v>
      </c>
      <c r="D19" s="37"/>
      <c r="E19" s="37">
        <v>0</v>
      </c>
      <c r="F19" s="37"/>
      <c r="G19" s="13">
        <f t="shared" si="0"/>
        <v>0</v>
      </c>
      <c r="H19" s="8"/>
      <c r="I19" s="8"/>
      <c r="J19" s="8"/>
      <c r="K19" s="8"/>
      <c r="L19" s="8"/>
      <c r="M19" s="38"/>
      <c r="N19" s="59"/>
      <c r="O19" s="59"/>
      <c r="P19" s="8"/>
      <c r="Q19" s="8"/>
      <c r="R19" s="8"/>
      <c r="S19" s="8"/>
      <c r="T19" s="8"/>
      <c r="U19" s="8"/>
      <c r="V19" s="8"/>
      <c r="W19" s="8"/>
    </row>
    <row r="20" spans="1:23" s="25" customFormat="1" ht="30" x14ac:dyDescent="0.25">
      <c r="A20" s="236" t="s">
        <v>4</v>
      </c>
      <c r="B20" s="39" t="s">
        <v>285</v>
      </c>
      <c r="C20" s="39">
        <v>0</v>
      </c>
      <c r="D20" s="39">
        <v>150000</v>
      </c>
      <c r="E20" s="39">
        <v>0</v>
      </c>
      <c r="F20" s="39">
        <v>150000</v>
      </c>
      <c r="G20" s="13">
        <f t="shared" si="0"/>
        <v>150000</v>
      </c>
      <c r="H20" s="8"/>
      <c r="I20" s="8">
        <f>J20+K20</f>
        <v>150000</v>
      </c>
      <c r="J20" s="8"/>
      <c r="K20" s="8">
        <v>150000</v>
      </c>
      <c r="L20" s="8"/>
      <c r="M20" s="38"/>
      <c r="N20" s="59"/>
      <c r="O20" s="59"/>
      <c r="P20" s="8"/>
      <c r="Q20" s="8">
        <f t="shared" si="2"/>
        <v>150000</v>
      </c>
      <c r="R20" s="8"/>
      <c r="S20" s="8">
        <v>150000</v>
      </c>
      <c r="T20" s="8"/>
      <c r="U20" s="8">
        <f t="shared" si="3"/>
        <v>150000</v>
      </c>
      <c r="V20" s="8"/>
      <c r="W20" s="8">
        <v>150000</v>
      </c>
    </row>
    <row r="21" spans="1:23" s="25" customFormat="1" ht="14.45" x14ac:dyDescent="0.3">
      <c r="A21" s="236"/>
      <c r="B21" s="39"/>
      <c r="C21" s="39"/>
      <c r="D21" s="39"/>
      <c r="E21" s="39"/>
      <c r="F21" s="39"/>
      <c r="G21" s="13"/>
      <c r="H21" s="8"/>
      <c r="I21" s="8"/>
      <c r="J21" s="8"/>
      <c r="K21" s="8"/>
      <c r="L21" s="8"/>
      <c r="M21" s="38"/>
      <c r="N21" s="59"/>
      <c r="O21" s="59"/>
      <c r="P21" s="8"/>
      <c r="Q21" s="8"/>
      <c r="R21" s="8"/>
      <c r="S21" s="8"/>
      <c r="T21" s="8"/>
      <c r="U21" s="8"/>
      <c r="V21" s="8"/>
      <c r="W21" s="8"/>
    </row>
    <row r="22" spans="1:23" s="35" customFormat="1" x14ac:dyDescent="0.25">
      <c r="A22" s="237"/>
      <c r="B22" s="15" t="s">
        <v>14</v>
      </c>
      <c r="C22" s="15">
        <f>C18+C12</f>
        <v>0</v>
      </c>
      <c r="D22" s="15">
        <f>D18+D12</f>
        <v>10065644.65</v>
      </c>
      <c r="E22" s="15">
        <f t="shared" ref="E22:F22" si="5">E18+E12</f>
        <v>0</v>
      </c>
      <c r="F22" s="15">
        <f t="shared" si="5"/>
        <v>6991392.3700000001</v>
      </c>
      <c r="G22" s="44">
        <f t="shared" si="0"/>
        <v>9966624.3100000024</v>
      </c>
      <c r="H22" s="16">
        <f>H12+H18</f>
        <v>0</v>
      </c>
      <c r="I22" s="16">
        <f>I12+I18</f>
        <v>9966624.3100000024</v>
      </c>
      <c r="J22" s="16">
        <f>J12+J18</f>
        <v>0</v>
      </c>
      <c r="K22" s="16">
        <f>K12+K18</f>
        <v>9966624.3100000024</v>
      </c>
      <c r="L22" s="16">
        <f>L12+L18</f>
        <v>989737.77</v>
      </c>
      <c r="M22" s="16"/>
      <c r="N22" s="18">
        <f t="shared" ref="N22:O22" si="6">N12+N18</f>
        <v>0</v>
      </c>
      <c r="O22" s="18">
        <f t="shared" si="6"/>
        <v>0</v>
      </c>
      <c r="P22" s="16">
        <f t="shared" ref="P22:W22" si="7">P12+P18</f>
        <v>0</v>
      </c>
      <c r="Q22" s="16">
        <f t="shared" si="7"/>
        <v>8262200</v>
      </c>
      <c r="R22" s="16">
        <f t="shared" si="7"/>
        <v>0</v>
      </c>
      <c r="S22" s="16">
        <f t="shared" si="7"/>
        <v>8262200</v>
      </c>
      <c r="T22" s="16">
        <f t="shared" si="7"/>
        <v>0</v>
      </c>
      <c r="U22" s="16">
        <f t="shared" si="7"/>
        <v>8115300</v>
      </c>
      <c r="V22" s="16">
        <f t="shared" si="7"/>
        <v>0</v>
      </c>
      <c r="W22" s="16">
        <f t="shared" si="7"/>
        <v>8115300</v>
      </c>
    </row>
  </sheetData>
  <customSheetViews>
    <customSheetView guid="{F55D2626-B25D-4865-88D7-A4040A583D45}" scale="90" showPageBreaks="1" fitToPage="1" topLeftCell="G1">
      <pane ySplit="11" topLeftCell="A12" activePane="bottomLeft" state="frozen"/>
      <selection pane="bottomLeft" activeCell="N22" sqref="N22:O23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"/>
    </customSheetView>
    <customSheetView guid="{9D6C8421-31F4-449D-B427-1D13044E970D}" scale="90" showPageBreaks="1" fitToPage="1">
      <pane ySplit="11" topLeftCell="A12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D22" sqref="D22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A21" sqref="A21:XFD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14" sqref="F14: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H33" sqref="H3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H33" sqref="H3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F14" sqref="F14:G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F14" sqref="F14:G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topLeftCell="F1">
      <pane ySplit="11" topLeftCell="A12" activePane="bottomLeft" state="frozen"/>
      <selection pane="bottomLeft" activeCell="J18" sqref="J18:P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7" activePane="bottomLeft" state="frozen"/>
      <selection pane="bottomLeft" activeCell="F14" sqref="F14:G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J21" activeCellId="1" sqref="N21 J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F14" sqref="F14:G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F14" sqref="F14:G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F18" sqref="F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B27" sqref="B27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W35"/>
  <sheetViews>
    <sheetView zoomScale="90" zoomScaleNormal="90" workbookViewId="0">
      <pane ySplit="11" topLeftCell="A36" activePane="bottomLeft" state="frozen"/>
      <selection activeCell="H14" sqref="H14"/>
      <selection pane="bottomLeft" activeCell="J35" sqref="J35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5" width="19.42578125" style="2" customWidth="1"/>
    <col min="6" max="10" width="19.5703125" style="2" customWidth="1"/>
    <col min="11" max="11" width="34.42578125" style="2" customWidth="1"/>
    <col min="12" max="12" width="17.5703125" style="2" customWidth="1"/>
    <col min="13" max="13" width="18.28515625" style="2" customWidth="1"/>
    <col min="14" max="21" width="19.5703125" style="2" customWidth="1"/>
    <col min="22" max="23" width="9.140625" style="71"/>
    <col min="24" max="16384" width="9.140625" style="2"/>
  </cols>
  <sheetData>
    <row r="2" spans="1:21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ht="6" customHeight="1" x14ac:dyDescent="0.3"/>
    <row r="4" spans="1:21" s="71" customFormat="1" ht="42.75" customHeight="1" x14ac:dyDescent="0.25">
      <c r="A4" s="291" t="s">
        <v>52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</row>
    <row r="5" spans="1:21" s="71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20"/>
      <c r="P5" s="20"/>
      <c r="Q5" s="20"/>
      <c r="R5" s="20"/>
      <c r="S5" s="20"/>
      <c r="T5" s="20"/>
      <c r="U5" s="20"/>
    </row>
    <row r="6" spans="1:21" s="71" customFormat="1" ht="33.75" customHeight="1" x14ac:dyDescent="0.25">
      <c r="A6" s="270" t="s">
        <v>0</v>
      </c>
      <c r="B6" s="271" t="s">
        <v>28</v>
      </c>
      <c r="C6" s="282" t="s">
        <v>395</v>
      </c>
      <c r="D6" s="283"/>
      <c r="E6" s="278" t="s">
        <v>400</v>
      </c>
      <c r="F6" s="292" t="s">
        <v>21</v>
      </c>
      <c r="G6" s="293"/>
      <c r="H6" s="293"/>
      <c r="I6" s="293"/>
      <c r="J6" s="293"/>
      <c r="K6" s="294"/>
      <c r="L6" s="285" t="s">
        <v>447</v>
      </c>
      <c r="M6" s="285" t="s">
        <v>448</v>
      </c>
      <c r="N6" s="277" t="s">
        <v>22</v>
      </c>
      <c r="O6" s="277"/>
      <c r="P6" s="277"/>
      <c r="Q6" s="277"/>
      <c r="R6" s="277" t="s">
        <v>41</v>
      </c>
      <c r="S6" s="277"/>
      <c r="T6" s="277"/>
      <c r="U6" s="277"/>
    </row>
    <row r="7" spans="1:21" s="71" customFormat="1" ht="47.25" customHeight="1" x14ac:dyDescent="0.25">
      <c r="A7" s="270"/>
      <c r="B7" s="271"/>
      <c r="C7" s="272" t="s">
        <v>396</v>
      </c>
      <c r="D7" s="272" t="s">
        <v>397</v>
      </c>
      <c r="E7" s="278"/>
      <c r="F7" s="283" t="s">
        <v>8</v>
      </c>
      <c r="G7" s="274" t="s">
        <v>23</v>
      </c>
      <c r="H7" s="275"/>
      <c r="I7" s="275"/>
      <c r="J7" s="271" t="s">
        <v>24</v>
      </c>
      <c r="K7" s="271"/>
      <c r="L7" s="286"/>
      <c r="M7" s="286"/>
      <c r="N7" s="271" t="s">
        <v>8</v>
      </c>
      <c r="O7" s="274" t="s">
        <v>23</v>
      </c>
      <c r="P7" s="275"/>
      <c r="Q7" s="275"/>
      <c r="R7" s="271" t="s">
        <v>8</v>
      </c>
      <c r="S7" s="276" t="s">
        <v>23</v>
      </c>
      <c r="T7" s="276"/>
      <c r="U7" s="276"/>
    </row>
    <row r="8" spans="1:21" s="71" customFormat="1" ht="18.75" customHeight="1" x14ac:dyDescent="0.25">
      <c r="A8" s="270"/>
      <c r="B8" s="271"/>
      <c r="C8" s="284"/>
      <c r="D8" s="284"/>
      <c r="E8" s="278"/>
      <c r="F8" s="283"/>
      <c r="G8" s="271" t="s">
        <v>15</v>
      </c>
      <c r="H8" s="276" t="s">
        <v>16</v>
      </c>
      <c r="I8" s="276"/>
      <c r="J8" s="288" t="s">
        <v>9</v>
      </c>
      <c r="K8" s="272" t="s">
        <v>20</v>
      </c>
      <c r="L8" s="286"/>
      <c r="M8" s="286"/>
      <c r="N8" s="271"/>
      <c r="O8" s="271" t="s">
        <v>15</v>
      </c>
      <c r="P8" s="276" t="s">
        <v>16</v>
      </c>
      <c r="Q8" s="276"/>
      <c r="R8" s="271"/>
      <c r="S8" s="271" t="s">
        <v>15</v>
      </c>
      <c r="T8" s="276" t="s">
        <v>16</v>
      </c>
      <c r="U8" s="276"/>
    </row>
    <row r="9" spans="1:21" s="71" customFormat="1" ht="39.75" customHeight="1" x14ac:dyDescent="0.25">
      <c r="A9" s="270"/>
      <c r="B9" s="271"/>
      <c r="C9" s="284"/>
      <c r="D9" s="284"/>
      <c r="E9" s="278"/>
      <c r="F9" s="283"/>
      <c r="G9" s="271"/>
      <c r="H9" s="271" t="s">
        <v>17</v>
      </c>
      <c r="I9" s="272" t="s">
        <v>18</v>
      </c>
      <c r="J9" s="289"/>
      <c r="K9" s="284"/>
      <c r="L9" s="286"/>
      <c r="M9" s="286"/>
      <c r="N9" s="271"/>
      <c r="O9" s="271"/>
      <c r="P9" s="271" t="s">
        <v>17</v>
      </c>
      <c r="Q9" s="272" t="s">
        <v>18</v>
      </c>
      <c r="R9" s="271"/>
      <c r="S9" s="271"/>
      <c r="T9" s="271" t="s">
        <v>17</v>
      </c>
      <c r="U9" s="272" t="s">
        <v>18</v>
      </c>
    </row>
    <row r="10" spans="1:21" s="71" customFormat="1" ht="37.5" customHeight="1" x14ac:dyDescent="0.25">
      <c r="A10" s="270"/>
      <c r="B10" s="271"/>
      <c r="C10" s="273"/>
      <c r="D10" s="273"/>
      <c r="E10" s="278"/>
      <c r="F10" s="283"/>
      <c r="G10" s="271"/>
      <c r="H10" s="271"/>
      <c r="I10" s="273"/>
      <c r="J10" s="290"/>
      <c r="K10" s="273"/>
      <c r="L10" s="287"/>
      <c r="M10" s="287"/>
      <c r="N10" s="271"/>
      <c r="O10" s="271"/>
      <c r="P10" s="271"/>
      <c r="Q10" s="273"/>
      <c r="R10" s="271"/>
      <c r="S10" s="271"/>
      <c r="T10" s="271"/>
      <c r="U10" s="273"/>
    </row>
    <row r="11" spans="1:21" s="261" customFormat="1" ht="16.5" customHeight="1" x14ac:dyDescent="0.3">
      <c r="A11" s="233">
        <v>1</v>
      </c>
      <c r="B11" s="238">
        <v>2</v>
      </c>
      <c r="C11" s="238">
        <v>3</v>
      </c>
      <c r="D11" s="238">
        <v>4</v>
      </c>
      <c r="E11" s="238">
        <v>5</v>
      </c>
      <c r="F11" s="244">
        <v>6</v>
      </c>
      <c r="G11" s="233">
        <v>7</v>
      </c>
      <c r="H11" s="238">
        <v>8</v>
      </c>
      <c r="I11" s="244">
        <v>9</v>
      </c>
      <c r="J11" s="238">
        <v>10</v>
      </c>
      <c r="K11" s="244">
        <v>11</v>
      </c>
      <c r="L11" s="249"/>
      <c r="M11" s="249"/>
      <c r="N11" s="244">
        <v>12</v>
      </c>
      <c r="O11" s="233">
        <v>13</v>
      </c>
      <c r="P11" s="238">
        <v>14</v>
      </c>
      <c r="Q11" s="244">
        <v>15</v>
      </c>
      <c r="R11" s="244">
        <v>16</v>
      </c>
      <c r="S11" s="233">
        <v>17</v>
      </c>
      <c r="T11" s="238">
        <v>18</v>
      </c>
      <c r="U11" s="244">
        <v>19</v>
      </c>
    </row>
    <row r="12" spans="1:21" s="25" customFormat="1" ht="60" x14ac:dyDescent="0.25">
      <c r="A12" s="234">
        <v>1</v>
      </c>
      <c r="B12" s="13" t="s">
        <v>117</v>
      </c>
      <c r="C12" s="44">
        <f>C14+C15+C16+C17+C18+C19</f>
        <v>483942.40000000002</v>
      </c>
      <c r="D12" s="44">
        <f>D14+D15+D16+D17+D18+D19</f>
        <v>216576.07</v>
      </c>
      <c r="E12" s="44">
        <f>F12+G12</f>
        <v>691788.80000000005</v>
      </c>
      <c r="F12" s="8">
        <f>F14+F15+F16+F17+F18</f>
        <v>0</v>
      </c>
      <c r="G12" s="8">
        <f>H12+I12</f>
        <v>691788.80000000005</v>
      </c>
      <c r="H12" s="8">
        <f t="shared" ref="H12:U12" si="0">H14+H15+H16+H17+H18</f>
        <v>0</v>
      </c>
      <c r="I12" s="8">
        <f>I14+I15+I16+I17+I18+I19</f>
        <v>691788.80000000005</v>
      </c>
      <c r="J12" s="8">
        <f>J14+J15+J16+J17+J18+J19</f>
        <v>2015500</v>
      </c>
      <c r="K12" s="38"/>
      <c r="L12" s="9"/>
      <c r="M12" s="9"/>
      <c r="N12" s="8">
        <f t="shared" si="0"/>
        <v>0</v>
      </c>
      <c r="O12" s="8">
        <f>P12+Q12</f>
        <v>447288.8</v>
      </c>
      <c r="P12" s="8">
        <f t="shared" si="0"/>
        <v>0</v>
      </c>
      <c r="Q12" s="8">
        <f t="shared" si="0"/>
        <v>447288.8</v>
      </c>
      <c r="R12" s="8">
        <f t="shared" si="0"/>
        <v>0</v>
      </c>
      <c r="S12" s="8">
        <f>T12+U12</f>
        <v>420288.8</v>
      </c>
      <c r="T12" s="8">
        <f t="shared" si="0"/>
        <v>0</v>
      </c>
      <c r="U12" s="8">
        <f t="shared" si="0"/>
        <v>420288.8</v>
      </c>
    </row>
    <row r="13" spans="1:21" s="25" customFormat="1" x14ac:dyDescent="0.25">
      <c r="A13" s="233"/>
      <c r="B13" s="37" t="s">
        <v>1</v>
      </c>
      <c r="C13" s="37"/>
      <c r="D13" s="37"/>
      <c r="E13" s="37"/>
      <c r="F13" s="8"/>
      <c r="G13" s="8">
        <f t="shared" ref="G13:G19" si="1">H13+I13</f>
        <v>0</v>
      </c>
      <c r="H13" s="8"/>
      <c r="I13" s="8"/>
      <c r="J13" s="8"/>
      <c r="K13" s="38"/>
      <c r="L13" s="9"/>
      <c r="M13" s="9"/>
      <c r="N13" s="8"/>
      <c r="O13" s="8">
        <f t="shared" ref="O13:O18" si="2">P13+Q13</f>
        <v>0</v>
      </c>
      <c r="P13" s="8"/>
      <c r="Q13" s="8"/>
      <c r="R13" s="8"/>
      <c r="S13" s="8">
        <f t="shared" ref="S13:S18" si="3">T13+U13</f>
        <v>0</v>
      </c>
      <c r="T13" s="8"/>
      <c r="U13" s="8"/>
    </row>
    <row r="14" spans="1:21" s="41" customFormat="1" ht="30" x14ac:dyDescent="0.25">
      <c r="A14" s="236" t="s">
        <v>4</v>
      </c>
      <c r="B14" s="13" t="s">
        <v>118</v>
      </c>
      <c r="C14" s="13">
        <v>15842.4</v>
      </c>
      <c r="D14" s="13">
        <v>10576.07</v>
      </c>
      <c r="E14" s="13">
        <f t="shared" ref="E14:E35" si="4">F14+G14</f>
        <v>32788.800000000003</v>
      </c>
      <c r="F14" s="8"/>
      <c r="G14" s="8">
        <f t="shared" si="1"/>
        <v>32788.800000000003</v>
      </c>
      <c r="H14" s="8"/>
      <c r="I14" s="8">
        <v>32788.800000000003</v>
      </c>
      <c r="J14" s="8"/>
      <c r="K14" s="38"/>
      <c r="L14" s="9"/>
      <c r="M14" s="9"/>
      <c r="N14" s="8"/>
      <c r="O14" s="8">
        <f t="shared" si="2"/>
        <v>32788.800000000003</v>
      </c>
      <c r="P14" s="8"/>
      <c r="Q14" s="8">
        <v>32788.800000000003</v>
      </c>
      <c r="R14" s="8"/>
      <c r="S14" s="8">
        <f t="shared" si="3"/>
        <v>32788.800000000003</v>
      </c>
      <c r="T14" s="8"/>
      <c r="U14" s="8">
        <v>32788.800000000003</v>
      </c>
    </row>
    <row r="15" spans="1:21" s="41" customFormat="1" ht="75" x14ac:dyDescent="0.25">
      <c r="A15" s="236" t="s">
        <v>5</v>
      </c>
      <c r="B15" s="62" t="s">
        <v>119</v>
      </c>
      <c r="C15" s="38">
        <v>59100</v>
      </c>
      <c r="D15" s="38">
        <v>0</v>
      </c>
      <c r="E15" s="13">
        <f t="shared" si="4"/>
        <v>90000</v>
      </c>
      <c r="F15" s="8"/>
      <c r="G15" s="8">
        <f t="shared" si="1"/>
        <v>90000</v>
      </c>
      <c r="H15" s="8"/>
      <c r="I15" s="8">
        <v>90000</v>
      </c>
      <c r="J15" s="8">
        <v>110000</v>
      </c>
      <c r="K15" s="65" t="s">
        <v>138</v>
      </c>
      <c r="L15" s="9"/>
      <c r="M15" s="9"/>
      <c r="N15" s="8"/>
      <c r="O15" s="8">
        <f t="shared" si="2"/>
        <v>179500</v>
      </c>
      <c r="P15" s="8"/>
      <c r="Q15" s="8">
        <v>179500</v>
      </c>
      <c r="R15" s="8"/>
      <c r="S15" s="8">
        <f t="shared" si="3"/>
        <v>179500</v>
      </c>
      <c r="T15" s="8"/>
      <c r="U15" s="8">
        <v>179500</v>
      </c>
    </row>
    <row r="16" spans="1:21" s="41" customFormat="1" ht="30" x14ac:dyDescent="0.25">
      <c r="A16" s="236" t="s">
        <v>6</v>
      </c>
      <c r="B16" s="39" t="s">
        <v>120</v>
      </c>
      <c r="C16" s="13">
        <v>316000</v>
      </c>
      <c r="D16" s="13">
        <v>188000</v>
      </c>
      <c r="E16" s="13">
        <f t="shared" si="4"/>
        <v>160000</v>
      </c>
      <c r="F16" s="8"/>
      <c r="G16" s="8">
        <f t="shared" si="1"/>
        <v>160000</v>
      </c>
      <c r="H16" s="8"/>
      <c r="I16" s="8">
        <v>160000</v>
      </c>
      <c r="J16" s="8"/>
      <c r="K16" s="34"/>
      <c r="L16" s="9"/>
      <c r="M16" s="9"/>
      <c r="N16" s="8"/>
      <c r="O16" s="8">
        <f t="shared" si="2"/>
        <v>160000</v>
      </c>
      <c r="P16" s="8"/>
      <c r="Q16" s="8">
        <v>160000</v>
      </c>
      <c r="R16" s="8"/>
      <c r="S16" s="8">
        <f t="shared" si="3"/>
        <v>160000</v>
      </c>
      <c r="T16" s="8"/>
      <c r="U16" s="8">
        <v>160000</v>
      </c>
    </row>
    <row r="17" spans="1:21" s="41" customFormat="1" ht="30" x14ac:dyDescent="0.25">
      <c r="A17" s="236" t="s">
        <v>7</v>
      </c>
      <c r="B17" s="39" t="s">
        <v>121</v>
      </c>
      <c r="C17" s="13"/>
      <c r="D17" s="13"/>
      <c r="E17" s="13">
        <f t="shared" si="4"/>
        <v>149000</v>
      </c>
      <c r="F17" s="61"/>
      <c r="G17" s="8">
        <f t="shared" si="1"/>
        <v>149000</v>
      </c>
      <c r="H17" s="61"/>
      <c r="I17" s="61">
        <f>129000+20000</f>
        <v>149000</v>
      </c>
      <c r="J17" s="61">
        <v>1529500</v>
      </c>
      <c r="K17" s="96" t="s">
        <v>140</v>
      </c>
      <c r="L17" s="9"/>
      <c r="M17" s="9"/>
      <c r="N17" s="61"/>
      <c r="O17" s="8">
        <f t="shared" si="2"/>
        <v>60000</v>
      </c>
      <c r="P17" s="61"/>
      <c r="Q17" s="61">
        <f>60000</f>
        <v>60000</v>
      </c>
      <c r="R17" s="61"/>
      <c r="S17" s="8">
        <f t="shared" si="3"/>
        <v>48000</v>
      </c>
      <c r="T17" s="61"/>
      <c r="U17" s="61">
        <v>48000</v>
      </c>
    </row>
    <row r="18" spans="1:21" s="41" customFormat="1" ht="30" x14ac:dyDescent="0.25">
      <c r="A18" s="236" t="s">
        <v>12</v>
      </c>
      <c r="B18" s="39" t="s">
        <v>122</v>
      </c>
      <c r="C18" s="13">
        <v>30000</v>
      </c>
      <c r="D18" s="13">
        <v>0</v>
      </c>
      <c r="E18" s="13">
        <f t="shared" si="4"/>
        <v>60000</v>
      </c>
      <c r="F18" s="8"/>
      <c r="G18" s="8">
        <f t="shared" si="1"/>
        <v>60000</v>
      </c>
      <c r="H18" s="8"/>
      <c r="I18" s="8">
        <v>60000</v>
      </c>
      <c r="J18" s="8"/>
      <c r="K18" s="62"/>
      <c r="L18" s="9"/>
      <c r="M18" s="9"/>
      <c r="N18" s="8"/>
      <c r="O18" s="8">
        <f t="shared" si="2"/>
        <v>15000</v>
      </c>
      <c r="P18" s="8"/>
      <c r="Q18" s="8">
        <v>15000</v>
      </c>
      <c r="R18" s="8"/>
      <c r="S18" s="8">
        <f t="shared" si="3"/>
        <v>0</v>
      </c>
      <c r="T18" s="8"/>
      <c r="U18" s="8"/>
    </row>
    <row r="19" spans="1:21" s="41" customFormat="1" ht="75" x14ac:dyDescent="0.25">
      <c r="A19" s="236" t="s">
        <v>123</v>
      </c>
      <c r="B19" s="39" t="s">
        <v>124</v>
      </c>
      <c r="C19" s="13">
        <v>63000</v>
      </c>
      <c r="D19" s="13">
        <v>18000</v>
      </c>
      <c r="E19" s="13">
        <f t="shared" si="4"/>
        <v>200000</v>
      </c>
      <c r="F19" s="8"/>
      <c r="G19" s="8">
        <f t="shared" si="1"/>
        <v>200000</v>
      </c>
      <c r="H19" s="8"/>
      <c r="I19" s="8">
        <f>200000</f>
        <v>200000</v>
      </c>
      <c r="J19" s="8">
        <v>376000</v>
      </c>
      <c r="K19" s="62" t="s">
        <v>134</v>
      </c>
      <c r="L19" s="179"/>
      <c r="M19" s="9">
        <f>J19</f>
        <v>376000</v>
      </c>
      <c r="N19" s="8"/>
      <c r="O19" s="8"/>
      <c r="P19" s="8"/>
      <c r="Q19" s="8"/>
      <c r="R19" s="8"/>
      <c r="S19" s="8"/>
      <c r="T19" s="8"/>
      <c r="U19" s="8"/>
    </row>
    <row r="20" spans="1:21" s="41" customFormat="1" ht="30" x14ac:dyDescent="0.25">
      <c r="A20" s="234">
        <v>2</v>
      </c>
      <c r="B20" s="13" t="s">
        <v>125</v>
      </c>
      <c r="C20" s="44">
        <f>C22+C23+C24+C25+C26+C27</f>
        <v>2749757.5999999996</v>
      </c>
      <c r="D20" s="44">
        <f>D22+D23+D24+D25+D26+D27</f>
        <v>1486884.78</v>
      </c>
      <c r="E20" s="44">
        <f t="shared" si="4"/>
        <v>2188950.98</v>
      </c>
      <c r="F20" s="8">
        <f>F22+F23+F24+F25+F26+F27</f>
        <v>0</v>
      </c>
      <c r="G20" s="8">
        <f>G22+G23+G24+G25+G26+G27</f>
        <v>2188950.98</v>
      </c>
      <c r="H20" s="8">
        <f>H22+H23+H24+H25+H26+H27</f>
        <v>0</v>
      </c>
      <c r="I20" s="8">
        <f>I22+I23+I24+I25+I26+I27</f>
        <v>2188950.98</v>
      </c>
      <c r="J20" s="8">
        <f>J22+J23+J24+J25+J26+J27</f>
        <v>10967556.180000002</v>
      </c>
      <c r="K20" s="38"/>
      <c r="L20" s="9"/>
      <c r="M20" s="9"/>
      <c r="N20" s="8">
        <f t="shared" ref="N20:U20" si="5">N22+N23+N24+N25+N26+N27</f>
        <v>0</v>
      </c>
      <c r="O20" s="8">
        <f t="shared" si="5"/>
        <v>2189511.2000000002</v>
      </c>
      <c r="P20" s="8">
        <f t="shared" si="5"/>
        <v>0</v>
      </c>
      <c r="Q20" s="8">
        <f t="shared" si="5"/>
        <v>2189511.2000000002</v>
      </c>
      <c r="R20" s="8">
        <f t="shared" si="5"/>
        <v>0</v>
      </c>
      <c r="S20" s="8">
        <f t="shared" si="5"/>
        <v>2169611.2000000002</v>
      </c>
      <c r="T20" s="8">
        <f t="shared" si="5"/>
        <v>0</v>
      </c>
      <c r="U20" s="8">
        <f t="shared" si="5"/>
        <v>2169611.2000000002</v>
      </c>
    </row>
    <row r="21" spans="1:21" s="25" customFormat="1" x14ac:dyDescent="0.25">
      <c r="A21" s="233"/>
      <c r="B21" s="37" t="s">
        <v>1</v>
      </c>
      <c r="C21" s="37"/>
      <c r="D21" s="37"/>
      <c r="E21" s="13">
        <f t="shared" si="4"/>
        <v>0</v>
      </c>
      <c r="F21" s="8"/>
      <c r="G21" s="8">
        <f t="shared" ref="G21:G30" si="6">H21+I21</f>
        <v>0</v>
      </c>
      <c r="H21" s="8"/>
      <c r="I21" s="8"/>
      <c r="J21" s="8"/>
      <c r="K21" s="38"/>
      <c r="L21" s="9"/>
      <c r="M21" s="9"/>
      <c r="N21" s="8"/>
      <c r="O21" s="8">
        <f t="shared" ref="O21:O30" si="7">P21+Q21</f>
        <v>0</v>
      </c>
      <c r="P21" s="8"/>
      <c r="Q21" s="8"/>
      <c r="R21" s="8"/>
      <c r="S21" s="8">
        <f t="shared" ref="S21:S30" si="8">T21+U21</f>
        <v>0</v>
      </c>
      <c r="T21" s="8"/>
      <c r="U21" s="8"/>
    </row>
    <row r="22" spans="1:21" s="25" customFormat="1" ht="60" x14ac:dyDescent="0.25">
      <c r="A22" s="236" t="s">
        <v>4</v>
      </c>
      <c r="B22" s="39" t="s">
        <v>126</v>
      </c>
      <c r="C22" s="39">
        <v>1214048.2</v>
      </c>
      <c r="D22" s="39">
        <v>777461.67</v>
      </c>
      <c r="E22" s="13">
        <f t="shared" si="4"/>
        <v>1100000</v>
      </c>
      <c r="F22" s="8"/>
      <c r="G22" s="8">
        <f t="shared" si="6"/>
        <v>1100000</v>
      </c>
      <c r="H22" s="8"/>
      <c r="I22" s="8">
        <v>1100000</v>
      </c>
      <c r="J22" s="8">
        <v>499632.16</v>
      </c>
      <c r="K22" s="39" t="s">
        <v>139</v>
      </c>
      <c r="L22" s="180"/>
      <c r="M22" s="9">
        <f>J22</f>
        <v>499632.16</v>
      </c>
      <c r="N22" s="8"/>
      <c r="O22" s="8">
        <f t="shared" si="7"/>
        <v>1454597.6</v>
      </c>
      <c r="P22" s="8"/>
      <c r="Q22" s="8">
        <v>1454597.6</v>
      </c>
      <c r="R22" s="8"/>
      <c r="S22" s="8">
        <f t="shared" si="8"/>
        <v>1434697.6</v>
      </c>
      <c r="T22" s="8"/>
      <c r="U22" s="8">
        <v>1434697.6</v>
      </c>
    </row>
    <row r="23" spans="1:21" s="25" customFormat="1" ht="53.45" customHeight="1" x14ac:dyDescent="0.25">
      <c r="A23" s="236" t="s">
        <v>5</v>
      </c>
      <c r="B23" s="39" t="s">
        <v>127</v>
      </c>
      <c r="C23" s="39">
        <v>488336.91</v>
      </c>
      <c r="D23" s="39">
        <v>329123.31</v>
      </c>
      <c r="E23" s="13">
        <f t="shared" si="4"/>
        <v>250385.31</v>
      </c>
      <c r="F23" s="8"/>
      <c r="G23" s="8">
        <f t="shared" si="6"/>
        <v>250385.31</v>
      </c>
      <c r="H23" s="8"/>
      <c r="I23" s="8">
        <v>250385.31</v>
      </c>
      <c r="J23" s="8">
        <v>92318.31</v>
      </c>
      <c r="K23" s="39" t="s">
        <v>136</v>
      </c>
      <c r="L23" s="9"/>
      <c r="M23" s="9">
        <f>J23</f>
        <v>92318.31</v>
      </c>
      <c r="N23" s="8"/>
      <c r="O23" s="8">
        <f t="shared" si="7"/>
        <v>197762.04</v>
      </c>
      <c r="P23" s="8"/>
      <c r="Q23" s="8">
        <v>197762.04</v>
      </c>
      <c r="R23" s="8"/>
      <c r="S23" s="8">
        <f t="shared" si="8"/>
        <v>197762.04</v>
      </c>
      <c r="T23" s="8"/>
      <c r="U23" s="8">
        <v>197762.04</v>
      </c>
    </row>
    <row r="24" spans="1:21" s="41" customFormat="1" ht="60" x14ac:dyDescent="0.25">
      <c r="A24" s="236" t="s">
        <v>6</v>
      </c>
      <c r="B24" s="39" t="s">
        <v>128</v>
      </c>
      <c r="C24" s="39">
        <v>802420.67</v>
      </c>
      <c r="D24" s="39">
        <v>252904.49</v>
      </c>
      <c r="E24" s="13">
        <f t="shared" si="4"/>
        <v>683739.78</v>
      </c>
      <c r="F24" s="8"/>
      <c r="G24" s="8">
        <f t="shared" si="6"/>
        <v>683739.78</v>
      </c>
      <c r="H24" s="8"/>
      <c r="I24" s="8">
        <f>405000+278739.78</f>
        <v>683739.78</v>
      </c>
      <c r="J24" s="8">
        <f>278739.78-278739.78</f>
        <v>0</v>
      </c>
      <c r="K24" s="39" t="s">
        <v>136</v>
      </c>
      <c r="L24" s="9"/>
      <c r="M24" s="9"/>
      <c r="N24" s="8"/>
      <c r="O24" s="8">
        <f t="shared" si="7"/>
        <v>355045.67</v>
      </c>
      <c r="P24" s="8"/>
      <c r="Q24" s="8">
        <v>355045.67</v>
      </c>
      <c r="R24" s="8"/>
      <c r="S24" s="8">
        <f t="shared" si="8"/>
        <v>355045.67</v>
      </c>
      <c r="T24" s="8"/>
      <c r="U24" s="8">
        <v>355045.67</v>
      </c>
    </row>
    <row r="25" spans="1:21" s="41" customFormat="1" ht="30" x14ac:dyDescent="0.25">
      <c r="A25" s="236" t="s">
        <v>7</v>
      </c>
      <c r="B25" s="39" t="s">
        <v>129</v>
      </c>
      <c r="C25" s="39">
        <v>191101.82</v>
      </c>
      <c r="D25" s="39">
        <v>84590.11</v>
      </c>
      <c r="E25" s="13">
        <f t="shared" si="4"/>
        <v>154825.89000000001</v>
      </c>
      <c r="F25" s="61"/>
      <c r="G25" s="8">
        <f t="shared" si="6"/>
        <v>154825.89000000001</v>
      </c>
      <c r="H25" s="61"/>
      <c r="I25" s="8">
        <v>154825.89000000001</v>
      </c>
      <c r="J25" s="8">
        <v>0</v>
      </c>
      <c r="K25" s="96"/>
      <c r="L25" s="9"/>
      <c r="M25" s="9"/>
      <c r="N25" s="61"/>
      <c r="O25" s="8">
        <f t="shared" si="7"/>
        <v>154825.89000000001</v>
      </c>
      <c r="P25" s="61"/>
      <c r="Q25" s="61">
        <v>154825.89000000001</v>
      </c>
      <c r="R25" s="61"/>
      <c r="S25" s="8">
        <f t="shared" si="8"/>
        <v>154825.89000000001</v>
      </c>
      <c r="T25" s="61"/>
      <c r="U25" s="61">
        <v>154825.89000000001</v>
      </c>
    </row>
    <row r="26" spans="1:21" s="41" customFormat="1" ht="45" x14ac:dyDescent="0.25">
      <c r="A26" s="236" t="s">
        <v>12</v>
      </c>
      <c r="B26" s="39" t="s">
        <v>130</v>
      </c>
      <c r="C26" s="39">
        <v>53850</v>
      </c>
      <c r="D26" s="39">
        <v>42805.2</v>
      </c>
      <c r="E26" s="13">
        <f t="shared" si="4"/>
        <v>0</v>
      </c>
      <c r="F26" s="8"/>
      <c r="G26" s="8">
        <f t="shared" si="6"/>
        <v>0</v>
      </c>
      <c r="H26" s="8"/>
      <c r="I26" s="8"/>
      <c r="J26" s="8">
        <v>27280</v>
      </c>
      <c r="K26" s="39" t="s">
        <v>137</v>
      </c>
      <c r="L26" s="9"/>
      <c r="M26" s="9">
        <f>J26</f>
        <v>27280</v>
      </c>
      <c r="N26" s="8"/>
      <c r="O26" s="8">
        <f t="shared" si="7"/>
        <v>27280</v>
      </c>
      <c r="P26" s="8"/>
      <c r="Q26" s="8">
        <v>27280</v>
      </c>
      <c r="R26" s="8"/>
      <c r="S26" s="8">
        <f t="shared" si="8"/>
        <v>27280</v>
      </c>
      <c r="T26" s="8"/>
      <c r="U26" s="8">
        <v>27280</v>
      </c>
    </row>
    <row r="27" spans="1:21" s="11" customFormat="1" ht="63" customHeight="1" x14ac:dyDescent="0.25">
      <c r="A27" s="236" t="s">
        <v>123</v>
      </c>
      <c r="B27" s="39" t="s">
        <v>131</v>
      </c>
      <c r="C27" s="39">
        <v>0</v>
      </c>
      <c r="D27" s="39">
        <v>0</v>
      </c>
      <c r="E27" s="13">
        <f t="shared" si="4"/>
        <v>0</v>
      </c>
      <c r="F27" s="8"/>
      <c r="G27" s="8">
        <f t="shared" si="6"/>
        <v>0</v>
      </c>
      <c r="H27" s="8"/>
      <c r="I27" s="8"/>
      <c r="J27" s="8">
        <v>10348325.710000001</v>
      </c>
      <c r="K27" s="65" t="s">
        <v>135</v>
      </c>
      <c r="L27" s="9"/>
      <c r="M27" s="9"/>
      <c r="N27" s="8"/>
      <c r="O27" s="8">
        <f t="shared" si="7"/>
        <v>0</v>
      </c>
      <c r="P27" s="8"/>
      <c r="Q27" s="8"/>
      <c r="R27" s="8"/>
      <c r="S27" s="8">
        <f t="shared" si="8"/>
        <v>0</v>
      </c>
      <c r="T27" s="8"/>
      <c r="U27" s="8"/>
    </row>
    <row r="28" spans="1:21" s="11" customFormat="1" ht="30" x14ac:dyDescent="0.25">
      <c r="A28" s="234">
        <v>3</v>
      </c>
      <c r="B28" s="13" t="s">
        <v>132</v>
      </c>
      <c r="C28" s="44">
        <f>C30+C31+C32+C33</f>
        <v>286685.52</v>
      </c>
      <c r="D28" s="44">
        <f>D30+D31+D32+D33</f>
        <v>0</v>
      </c>
      <c r="E28" s="13">
        <f t="shared" si="4"/>
        <v>0</v>
      </c>
      <c r="F28" s="8">
        <f>F30</f>
        <v>0</v>
      </c>
      <c r="G28" s="8">
        <f>G30</f>
        <v>0</v>
      </c>
      <c r="H28" s="8">
        <f>H30</f>
        <v>0</v>
      </c>
      <c r="I28" s="8">
        <f>I30</f>
        <v>0</v>
      </c>
      <c r="J28" s="8">
        <f>J30</f>
        <v>172800</v>
      </c>
      <c r="K28" s="34"/>
      <c r="L28" s="9"/>
      <c r="M28" s="9"/>
      <c r="N28" s="8"/>
      <c r="O28" s="8">
        <f t="shared" ref="O28:U28" si="9">O30</f>
        <v>0</v>
      </c>
      <c r="P28" s="8">
        <f t="shared" si="9"/>
        <v>0</v>
      </c>
      <c r="Q28" s="8">
        <f t="shared" si="9"/>
        <v>0</v>
      </c>
      <c r="R28" s="8">
        <f t="shared" si="9"/>
        <v>0</v>
      </c>
      <c r="S28" s="8">
        <f t="shared" si="9"/>
        <v>0</v>
      </c>
      <c r="T28" s="8">
        <f t="shared" si="9"/>
        <v>0</v>
      </c>
      <c r="U28" s="8">
        <f t="shared" si="9"/>
        <v>0</v>
      </c>
    </row>
    <row r="29" spans="1:21" s="11" customFormat="1" x14ac:dyDescent="0.25">
      <c r="A29" s="234"/>
      <c r="B29" s="13" t="s">
        <v>1</v>
      </c>
      <c r="C29" s="13"/>
      <c r="D29" s="13"/>
      <c r="E29" s="13">
        <f t="shared" si="4"/>
        <v>0</v>
      </c>
      <c r="F29" s="8"/>
      <c r="G29" s="8">
        <f t="shared" si="6"/>
        <v>0</v>
      </c>
      <c r="H29" s="8"/>
      <c r="I29" s="8"/>
      <c r="J29" s="8"/>
      <c r="K29" s="34"/>
      <c r="L29" s="9"/>
      <c r="M29" s="9"/>
      <c r="N29" s="8"/>
      <c r="O29" s="8">
        <f t="shared" si="7"/>
        <v>0</v>
      </c>
      <c r="P29" s="8"/>
      <c r="Q29" s="8"/>
      <c r="R29" s="8"/>
      <c r="S29" s="8">
        <f t="shared" si="8"/>
        <v>0</v>
      </c>
      <c r="T29" s="8"/>
      <c r="U29" s="8"/>
    </row>
    <row r="30" spans="1:21" s="71" customFormat="1" ht="30" x14ac:dyDescent="0.25">
      <c r="A30" s="236" t="s">
        <v>4</v>
      </c>
      <c r="B30" s="39" t="s">
        <v>133</v>
      </c>
      <c r="C30" s="39">
        <v>0</v>
      </c>
      <c r="D30" s="39">
        <v>0</v>
      </c>
      <c r="E30" s="13">
        <f t="shared" si="4"/>
        <v>0</v>
      </c>
      <c r="F30" s="8">
        <v>0</v>
      </c>
      <c r="G30" s="8">
        <f t="shared" si="6"/>
        <v>0</v>
      </c>
      <c r="H30" s="8">
        <v>0</v>
      </c>
      <c r="I30" s="8">
        <v>0</v>
      </c>
      <c r="J30" s="8">
        <v>172800</v>
      </c>
      <c r="K30" s="13"/>
      <c r="L30" s="9">
        <f>J30</f>
        <v>172800</v>
      </c>
      <c r="M30" s="181"/>
      <c r="N30" s="8"/>
      <c r="O30" s="8">
        <f t="shared" si="7"/>
        <v>0</v>
      </c>
      <c r="P30" s="8"/>
      <c r="Q30" s="8">
        <v>0</v>
      </c>
      <c r="R30" s="8"/>
      <c r="S30" s="8">
        <f t="shared" si="8"/>
        <v>0</v>
      </c>
      <c r="T30" s="8"/>
      <c r="U30" s="8"/>
    </row>
    <row r="31" spans="1:21" s="71" customFormat="1" ht="30" x14ac:dyDescent="0.25">
      <c r="A31" s="236"/>
      <c r="B31" s="39" t="s">
        <v>405</v>
      </c>
      <c r="C31" s="39">
        <v>188737.16</v>
      </c>
      <c r="D31" s="39">
        <v>0</v>
      </c>
      <c r="E31" s="13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13"/>
      <c r="L31" s="9"/>
      <c r="M31" s="9"/>
      <c r="N31" s="8"/>
      <c r="O31" s="8"/>
      <c r="P31" s="8"/>
      <c r="Q31" s="8"/>
      <c r="R31" s="8"/>
      <c r="S31" s="8"/>
      <c r="T31" s="8"/>
      <c r="U31" s="8"/>
    </row>
    <row r="32" spans="1:21" s="71" customFormat="1" ht="30" x14ac:dyDescent="0.25">
      <c r="A32" s="236"/>
      <c r="B32" s="39" t="s">
        <v>406</v>
      </c>
      <c r="C32" s="39">
        <v>32620.36</v>
      </c>
      <c r="D32" s="39">
        <v>0</v>
      </c>
      <c r="E32" s="13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13"/>
      <c r="L32" s="9"/>
      <c r="M32" s="9"/>
      <c r="N32" s="8"/>
      <c r="O32" s="8"/>
      <c r="P32" s="8"/>
      <c r="Q32" s="8"/>
      <c r="R32" s="8"/>
      <c r="S32" s="8"/>
      <c r="T32" s="8"/>
      <c r="U32" s="8"/>
    </row>
    <row r="33" spans="1:21" s="71" customFormat="1" ht="30" x14ac:dyDescent="0.25">
      <c r="A33" s="236"/>
      <c r="B33" s="39" t="s">
        <v>407</v>
      </c>
      <c r="C33" s="39">
        <v>65328</v>
      </c>
      <c r="D33" s="39">
        <v>0</v>
      </c>
      <c r="E33" s="13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3"/>
      <c r="L33" s="9"/>
      <c r="M33" s="9"/>
      <c r="N33" s="8"/>
      <c r="O33" s="8"/>
      <c r="P33" s="8"/>
      <c r="Q33" s="8"/>
      <c r="R33" s="8"/>
      <c r="S33" s="8"/>
      <c r="T33" s="8"/>
      <c r="U33" s="8"/>
    </row>
    <row r="34" spans="1:21" s="71" customFormat="1" ht="30" x14ac:dyDescent="0.25">
      <c r="A34" s="236"/>
      <c r="B34" s="39" t="s">
        <v>441</v>
      </c>
      <c r="C34" s="39"/>
      <c r="D34" s="39"/>
      <c r="E34" s="13"/>
      <c r="F34" s="8"/>
      <c r="G34" s="8"/>
      <c r="H34" s="8"/>
      <c r="I34" s="8"/>
      <c r="J34" s="8"/>
      <c r="K34" s="13"/>
      <c r="L34" s="9"/>
      <c r="M34" s="9">
        <v>166821.32</v>
      </c>
      <c r="N34" s="8"/>
      <c r="O34" s="8"/>
      <c r="P34" s="8"/>
      <c r="Q34" s="8"/>
      <c r="R34" s="8"/>
      <c r="S34" s="8"/>
      <c r="T34" s="8"/>
      <c r="U34" s="8"/>
    </row>
    <row r="35" spans="1:21" s="35" customFormat="1" x14ac:dyDescent="0.25">
      <c r="A35" s="237"/>
      <c r="B35" s="15" t="s">
        <v>14</v>
      </c>
      <c r="C35" s="15">
        <f>C12+C20+C28</f>
        <v>3520385.5199999996</v>
      </c>
      <c r="D35" s="15">
        <f>D12+D20+D28</f>
        <v>1703460.85</v>
      </c>
      <c r="E35" s="44">
        <f t="shared" si="4"/>
        <v>2880739.7800000003</v>
      </c>
      <c r="F35" s="16">
        <f>SUM(F27:F30)+F20+F12</f>
        <v>0</v>
      </c>
      <c r="G35" s="16">
        <f>G12+G20+G28</f>
        <v>2880739.7800000003</v>
      </c>
      <c r="H35" s="16">
        <f t="shared" ref="H35:I35" si="10">H12+H20+H28</f>
        <v>0</v>
      </c>
      <c r="I35" s="16">
        <f t="shared" si="10"/>
        <v>2880739.7800000003</v>
      </c>
      <c r="J35" s="16">
        <f>J12+J20+J28</f>
        <v>13155856.180000002</v>
      </c>
      <c r="K35" s="16"/>
      <c r="L35" s="18">
        <f>SUM(L12:L34)</f>
        <v>172800</v>
      </c>
      <c r="M35" s="18">
        <f>SUM(M12:M34)</f>
        <v>1162051.79</v>
      </c>
      <c r="N35" s="16">
        <f t="shared" ref="N35:U35" si="11">N12+N20+N28</f>
        <v>0</v>
      </c>
      <c r="O35" s="16">
        <f t="shared" si="11"/>
        <v>2636800</v>
      </c>
      <c r="P35" s="16">
        <f t="shared" si="11"/>
        <v>0</v>
      </c>
      <c r="Q35" s="16">
        <f t="shared" si="11"/>
        <v>2636800</v>
      </c>
      <c r="R35" s="16">
        <f t="shared" si="11"/>
        <v>0</v>
      </c>
      <c r="S35" s="16">
        <f t="shared" si="11"/>
        <v>2589900</v>
      </c>
      <c r="T35" s="16">
        <f t="shared" si="11"/>
        <v>0</v>
      </c>
      <c r="U35" s="16">
        <f t="shared" si="11"/>
        <v>2589900</v>
      </c>
    </row>
  </sheetData>
  <customSheetViews>
    <customSheetView guid="{F55D2626-B25D-4865-88D7-A4040A583D45}" scale="90" showPageBreaks="1" fitToPage="1">
      <pane ySplit="11" topLeftCell="A27" activePane="bottomLeft" state="frozen"/>
      <selection pane="bottomLeft" activeCell="L35" sqref="L35:M35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"/>
    </customSheetView>
    <customSheetView guid="{9D6C8421-31F4-449D-B427-1D13044E970D}" scale="90" showPageBreaks="1" fitToPage="1">
      <pane ySplit="11" topLeftCell="A25" activePane="bottomLeft" state="frozen"/>
      <selection pane="bottomLeft" activeCell="M36" sqref="M36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2"/>
    </customSheetView>
    <customSheetView guid="{CCAC52F4-1AE6-4B0C-B39F-86F6AB8E32E1}" scale="90" showPageBreaks="1" fitToPage="1">
      <pane ySplit="11" topLeftCell="A24" activePane="bottomLeft" state="frozen"/>
      <selection pane="bottomLeft" activeCell="B26" sqref="B26"/>
      <pageMargins left="0.31496062992125984" right="0.31496062992125984" top="0.35433070866141736" bottom="0.35433070866141736" header="0.31496062992125984" footer="0.31496062992125984"/>
      <pageSetup paperSize="9" scale="33" fitToHeight="2" orientation="landscape" verticalDpi="180" r:id="rId3"/>
    </customSheetView>
    <customSheetView guid="{8286488C-3E2A-4969-AFC8-11C0D17DBFA2}" scale="90" showPageBreaks="1" fitToPage="1">
      <pane ySplit="11" topLeftCell="A21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B26" sqref="B2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21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1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1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1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21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G19" sqref="G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24" activePane="bottomLeft" state="frozen"/>
      <selection pane="bottomLeft" activeCell="G30" sqref="G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2" activePane="bottomRight" state="frozen"/>
      <selection pane="bottomRight" activeCell="C16" sqref="C16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6"/>
    </customSheetView>
  </customSheetViews>
  <mergeCells count="34">
    <mergeCell ref="D7:D10"/>
    <mergeCell ref="L6:L10"/>
    <mergeCell ref="O8:O10"/>
    <mergeCell ref="J8:J10"/>
    <mergeCell ref="M6:M10"/>
    <mergeCell ref="E6:E10"/>
    <mergeCell ref="A2:U2"/>
    <mergeCell ref="A4:U4"/>
    <mergeCell ref="A6:A10"/>
    <mergeCell ref="B6:B10"/>
    <mergeCell ref="F6:K6"/>
    <mergeCell ref="N6:Q6"/>
    <mergeCell ref="R6:U6"/>
    <mergeCell ref="F7:F10"/>
    <mergeCell ref="G7:I7"/>
    <mergeCell ref="J7:K7"/>
    <mergeCell ref="G8:G10"/>
    <mergeCell ref="H8:I8"/>
    <mergeCell ref="C7:C10"/>
    <mergeCell ref="K8:K10"/>
    <mergeCell ref="S8:S10"/>
    <mergeCell ref="C6:D6"/>
    <mergeCell ref="T8:U8"/>
    <mergeCell ref="H9:H10"/>
    <mergeCell ref="I9:I10"/>
    <mergeCell ref="P9:P10"/>
    <mergeCell ref="Q9:Q10"/>
    <mergeCell ref="T9:T10"/>
    <mergeCell ref="U9:U10"/>
    <mergeCell ref="N7:N10"/>
    <mergeCell ref="O7:Q7"/>
    <mergeCell ref="R7:R10"/>
    <mergeCell ref="S7:U7"/>
    <mergeCell ref="P8:Q8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W34"/>
  <sheetViews>
    <sheetView zoomScale="90" zoomScaleNormal="90" workbookViewId="0">
      <pane ySplit="11" topLeftCell="A21" activePane="bottomLeft" state="frozen"/>
      <selection activeCell="H14" sqref="H14"/>
      <selection pane="bottomLeft" activeCell="I22" sqref="I22"/>
    </sheetView>
  </sheetViews>
  <sheetFormatPr defaultColWidth="9.140625" defaultRowHeight="15" x14ac:dyDescent="0.25"/>
  <cols>
    <col min="1" max="1" width="8.5703125" style="252" customWidth="1"/>
    <col min="2" max="2" width="46.5703125" style="145" customWidth="1"/>
    <col min="3" max="10" width="17.28515625" style="145" customWidth="1"/>
    <col min="11" max="11" width="56.42578125" style="145" customWidth="1"/>
    <col min="12" max="12" width="17.5703125" style="145" customWidth="1"/>
    <col min="13" max="13" width="19" style="145" customWidth="1"/>
    <col min="14" max="21" width="19.5703125" style="145" customWidth="1"/>
    <col min="22" max="23" width="9.140625" style="144"/>
    <col min="24" max="16384" width="9.140625" style="145"/>
  </cols>
  <sheetData>
    <row r="2" spans="1:21" ht="18.75" x14ac:dyDescent="0.25">
      <c r="A2" s="322" t="s">
        <v>40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</row>
    <row r="3" spans="1:21" ht="6" customHeight="1" x14ac:dyDescent="0.3"/>
    <row r="4" spans="1:21" s="144" customFormat="1" ht="26.25" customHeight="1" x14ac:dyDescent="0.25">
      <c r="A4" s="323" t="s">
        <v>53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</row>
    <row r="5" spans="1:21" s="144" customFormat="1" ht="6" customHeight="1" x14ac:dyDescent="0.35">
      <c r="A5" s="253"/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6"/>
      <c r="O5" s="146"/>
      <c r="P5" s="146"/>
      <c r="Q5" s="146"/>
      <c r="R5" s="146"/>
      <c r="S5" s="146"/>
      <c r="T5" s="146"/>
      <c r="U5" s="146"/>
    </row>
    <row r="6" spans="1:21" s="144" customFormat="1" ht="33.75" customHeight="1" x14ac:dyDescent="0.25">
      <c r="A6" s="324" t="s">
        <v>0</v>
      </c>
      <c r="B6" s="313" t="s">
        <v>28</v>
      </c>
      <c r="C6" s="282" t="s">
        <v>395</v>
      </c>
      <c r="D6" s="283"/>
      <c r="E6" s="278" t="s">
        <v>400</v>
      </c>
      <c r="F6" s="325" t="s">
        <v>21</v>
      </c>
      <c r="G6" s="326"/>
      <c r="H6" s="326"/>
      <c r="I6" s="326"/>
      <c r="J6" s="326"/>
      <c r="K6" s="327"/>
      <c r="L6" s="285" t="s">
        <v>447</v>
      </c>
      <c r="M6" s="285" t="s">
        <v>448</v>
      </c>
      <c r="N6" s="328" t="s">
        <v>22</v>
      </c>
      <c r="O6" s="328"/>
      <c r="P6" s="328"/>
      <c r="Q6" s="328"/>
      <c r="R6" s="328" t="s">
        <v>41</v>
      </c>
      <c r="S6" s="328"/>
      <c r="T6" s="328"/>
      <c r="U6" s="328"/>
    </row>
    <row r="7" spans="1:21" s="144" customFormat="1" ht="47.25" customHeight="1" x14ac:dyDescent="0.25">
      <c r="A7" s="324"/>
      <c r="B7" s="313"/>
      <c r="C7" s="272" t="s">
        <v>396</v>
      </c>
      <c r="D7" s="272" t="s">
        <v>397</v>
      </c>
      <c r="E7" s="278"/>
      <c r="F7" s="329" t="s">
        <v>8</v>
      </c>
      <c r="G7" s="317" t="s">
        <v>23</v>
      </c>
      <c r="H7" s="318"/>
      <c r="I7" s="318"/>
      <c r="J7" s="313" t="s">
        <v>24</v>
      </c>
      <c r="K7" s="313"/>
      <c r="L7" s="286"/>
      <c r="M7" s="286"/>
      <c r="N7" s="313" t="s">
        <v>8</v>
      </c>
      <c r="O7" s="317" t="s">
        <v>23</v>
      </c>
      <c r="P7" s="318"/>
      <c r="Q7" s="318"/>
      <c r="R7" s="313" t="s">
        <v>8</v>
      </c>
      <c r="S7" s="314" t="s">
        <v>23</v>
      </c>
      <c r="T7" s="314"/>
      <c r="U7" s="314"/>
    </row>
    <row r="8" spans="1:21" s="144" customFormat="1" ht="18.75" customHeight="1" x14ac:dyDescent="0.25">
      <c r="A8" s="324"/>
      <c r="B8" s="313"/>
      <c r="C8" s="284"/>
      <c r="D8" s="284"/>
      <c r="E8" s="278"/>
      <c r="F8" s="329"/>
      <c r="G8" s="313" t="s">
        <v>15</v>
      </c>
      <c r="H8" s="314" t="s">
        <v>16</v>
      </c>
      <c r="I8" s="314"/>
      <c r="J8" s="319" t="s">
        <v>9</v>
      </c>
      <c r="K8" s="315" t="s">
        <v>20</v>
      </c>
      <c r="L8" s="286"/>
      <c r="M8" s="286"/>
      <c r="N8" s="313"/>
      <c r="O8" s="313" t="s">
        <v>15</v>
      </c>
      <c r="P8" s="314" t="s">
        <v>16</v>
      </c>
      <c r="Q8" s="314"/>
      <c r="R8" s="313"/>
      <c r="S8" s="313" t="s">
        <v>15</v>
      </c>
      <c r="T8" s="314" t="s">
        <v>16</v>
      </c>
      <c r="U8" s="314"/>
    </row>
    <row r="9" spans="1:21" s="144" customFormat="1" ht="39.75" customHeight="1" x14ac:dyDescent="0.25">
      <c r="A9" s="324"/>
      <c r="B9" s="313"/>
      <c r="C9" s="284"/>
      <c r="D9" s="284"/>
      <c r="E9" s="278"/>
      <c r="F9" s="329"/>
      <c r="G9" s="313"/>
      <c r="H9" s="313" t="s">
        <v>17</v>
      </c>
      <c r="I9" s="315" t="s">
        <v>18</v>
      </c>
      <c r="J9" s="320"/>
      <c r="K9" s="330"/>
      <c r="L9" s="286"/>
      <c r="M9" s="286"/>
      <c r="N9" s="313"/>
      <c r="O9" s="313"/>
      <c r="P9" s="313" t="s">
        <v>17</v>
      </c>
      <c r="Q9" s="315" t="s">
        <v>18</v>
      </c>
      <c r="R9" s="313"/>
      <c r="S9" s="313"/>
      <c r="T9" s="313" t="s">
        <v>17</v>
      </c>
      <c r="U9" s="315" t="s">
        <v>18</v>
      </c>
    </row>
    <row r="10" spans="1:21" s="144" customFormat="1" ht="37.5" customHeight="1" x14ac:dyDescent="0.25">
      <c r="A10" s="324"/>
      <c r="B10" s="313"/>
      <c r="C10" s="273"/>
      <c r="D10" s="273"/>
      <c r="E10" s="278"/>
      <c r="F10" s="329"/>
      <c r="G10" s="313"/>
      <c r="H10" s="313"/>
      <c r="I10" s="316"/>
      <c r="J10" s="321"/>
      <c r="K10" s="316"/>
      <c r="L10" s="287"/>
      <c r="M10" s="287"/>
      <c r="N10" s="313"/>
      <c r="O10" s="313"/>
      <c r="P10" s="313"/>
      <c r="Q10" s="316"/>
      <c r="R10" s="313"/>
      <c r="S10" s="313"/>
      <c r="T10" s="313"/>
      <c r="U10" s="316"/>
    </row>
    <row r="11" spans="1:21" s="260" customFormat="1" ht="16.5" customHeight="1" x14ac:dyDescent="0.3">
      <c r="A11" s="254">
        <v>1</v>
      </c>
      <c r="B11" s="257">
        <v>2</v>
      </c>
      <c r="C11" s="257"/>
      <c r="D11" s="257"/>
      <c r="E11" s="257"/>
      <c r="F11" s="258">
        <v>3</v>
      </c>
      <c r="G11" s="254">
        <v>4</v>
      </c>
      <c r="H11" s="257">
        <v>5</v>
      </c>
      <c r="I11" s="258">
        <v>6</v>
      </c>
      <c r="J11" s="257">
        <v>7</v>
      </c>
      <c r="K11" s="258">
        <v>8</v>
      </c>
      <c r="L11" s="259"/>
      <c r="M11" s="259"/>
      <c r="N11" s="258">
        <v>9</v>
      </c>
      <c r="O11" s="254">
        <v>10</v>
      </c>
      <c r="P11" s="257">
        <v>11</v>
      </c>
      <c r="Q11" s="258">
        <v>12</v>
      </c>
      <c r="R11" s="258">
        <v>13</v>
      </c>
      <c r="S11" s="254">
        <v>14</v>
      </c>
      <c r="T11" s="257">
        <v>15</v>
      </c>
      <c r="U11" s="258">
        <v>16</v>
      </c>
    </row>
    <row r="12" spans="1:21" s="152" customFormat="1" ht="28.5" x14ac:dyDescent="0.25">
      <c r="A12" s="255">
        <v>1</v>
      </c>
      <c r="B12" s="149" t="s">
        <v>74</v>
      </c>
      <c r="C12" s="148">
        <f>C13+C15+C16+C22+C23</f>
        <v>253165367.20999998</v>
      </c>
      <c r="D12" s="148">
        <f>D13+D15+D16+D22+D23</f>
        <v>205455380.76000002</v>
      </c>
      <c r="E12" s="148">
        <f>F12+G12</f>
        <v>248845379.09000003</v>
      </c>
      <c r="F12" s="148">
        <f>F13+F15+F16+F22+F23</f>
        <v>11647100</v>
      </c>
      <c r="G12" s="148">
        <f>H12+I12</f>
        <v>237198279.09000003</v>
      </c>
      <c r="H12" s="148">
        <f>H13+H15+H16+H22+H23</f>
        <v>0</v>
      </c>
      <c r="I12" s="148">
        <f>I13+I15+I16+I22+I23+I14</f>
        <v>237198279.09000003</v>
      </c>
      <c r="J12" s="148">
        <f>J13+J15+J16+J22+J23</f>
        <v>65610114.039999999</v>
      </c>
      <c r="K12" s="150"/>
      <c r="L12" s="151"/>
      <c r="M12" s="151"/>
      <c r="N12" s="148">
        <f>N13+N15+N16+N22+N23</f>
        <v>11653000</v>
      </c>
      <c r="O12" s="148">
        <f>P12+Q12</f>
        <v>215596694</v>
      </c>
      <c r="P12" s="148">
        <f>P13+P15+P16+P22+P23</f>
        <v>0</v>
      </c>
      <c r="Q12" s="148">
        <f>Q13+Q15+Q16+Q22+Q23</f>
        <v>215596694</v>
      </c>
      <c r="R12" s="148">
        <f>R13+R15+R16+R22+R23</f>
        <v>11658800</v>
      </c>
      <c r="S12" s="148">
        <f>T12+U12</f>
        <v>211767267</v>
      </c>
      <c r="T12" s="148">
        <f>T13+T15+T16+T22+T23</f>
        <v>0</v>
      </c>
      <c r="U12" s="148">
        <f>U13+U15+U16+U22+U23</f>
        <v>211767267</v>
      </c>
    </row>
    <row r="13" spans="1:21" s="156" customFormat="1" ht="86.25" customHeight="1" x14ac:dyDescent="0.25">
      <c r="A13" s="255" t="s">
        <v>75</v>
      </c>
      <c r="B13" s="153" t="s">
        <v>454</v>
      </c>
      <c r="C13" s="154">
        <v>180323430.72</v>
      </c>
      <c r="D13" s="154">
        <v>146144253.93000001</v>
      </c>
      <c r="E13" s="150">
        <f>F13+G13</f>
        <v>167175721.09</v>
      </c>
      <c r="F13" s="150">
        <v>0</v>
      </c>
      <c r="G13" s="150">
        <f t="shared" ref="G13:G27" si="0">H13+I13</f>
        <v>167175721.09</v>
      </c>
      <c r="H13" s="150">
        <v>0</v>
      </c>
      <c r="I13" s="150">
        <f>167175721.09</f>
        <v>167175721.09</v>
      </c>
      <c r="J13" s="150">
        <f>229734800-G13</f>
        <v>62559078.909999996</v>
      </c>
      <c r="K13" s="153" t="s">
        <v>455</v>
      </c>
      <c r="L13" s="155"/>
      <c r="M13" s="155"/>
      <c r="N13" s="150">
        <v>0</v>
      </c>
      <c r="O13" s="150">
        <f t="shared" ref="O13:O27" si="1">P13+Q13</f>
        <v>152288481</v>
      </c>
      <c r="P13" s="150">
        <v>0</v>
      </c>
      <c r="Q13" s="150">
        <f>151074225+1214256</f>
        <v>152288481</v>
      </c>
      <c r="R13" s="150">
        <v>0</v>
      </c>
      <c r="S13" s="150">
        <f t="shared" ref="S13:S27" si="2">T13+U13</f>
        <v>149583535</v>
      </c>
      <c r="T13" s="150">
        <v>0</v>
      </c>
      <c r="U13" s="150">
        <f>148390847+1192688</f>
        <v>149583535</v>
      </c>
    </row>
    <row r="14" spans="1:21" s="156" customFormat="1" ht="30" x14ac:dyDescent="0.25">
      <c r="A14" s="255"/>
      <c r="B14" s="153" t="s">
        <v>414</v>
      </c>
      <c r="C14" s="154"/>
      <c r="D14" s="154"/>
      <c r="E14" s="150"/>
      <c r="F14" s="150"/>
      <c r="G14" s="150"/>
      <c r="H14" s="150"/>
      <c r="I14" s="150"/>
      <c r="J14" s="150"/>
      <c r="K14" s="153" t="s">
        <v>456</v>
      </c>
      <c r="L14" s="155"/>
      <c r="M14" s="155"/>
      <c r="N14" s="150"/>
      <c r="O14" s="150"/>
      <c r="P14" s="150"/>
      <c r="Q14" s="150"/>
      <c r="R14" s="150"/>
      <c r="S14" s="150"/>
      <c r="T14" s="150"/>
      <c r="U14" s="150"/>
    </row>
    <row r="15" spans="1:21" s="156" customFormat="1" ht="60" x14ac:dyDescent="0.25">
      <c r="A15" s="255" t="s">
        <v>76</v>
      </c>
      <c r="B15" s="153" t="s">
        <v>77</v>
      </c>
      <c r="C15" s="154">
        <v>1625229.69</v>
      </c>
      <c r="D15" s="154">
        <v>747767.49</v>
      </c>
      <c r="E15" s="150">
        <f>F15+G15</f>
        <v>13272329.689999999</v>
      </c>
      <c r="F15" s="150">
        <f>11865000-217900</f>
        <v>11647100</v>
      </c>
      <c r="G15" s="150">
        <f t="shared" si="0"/>
        <v>1625229.69</v>
      </c>
      <c r="H15" s="150">
        <v>0</v>
      </c>
      <c r="I15" s="154">
        <v>1625229.69</v>
      </c>
      <c r="J15" s="154">
        <v>0</v>
      </c>
      <c r="K15" s="72" t="s">
        <v>95</v>
      </c>
      <c r="L15" s="157"/>
      <c r="M15" s="157"/>
      <c r="N15" s="150">
        <f>11870900-217900</f>
        <v>11653000</v>
      </c>
      <c r="O15" s="150">
        <f t="shared" si="1"/>
        <v>0</v>
      </c>
      <c r="P15" s="150">
        <v>0</v>
      </c>
      <c r="Q15" s="150">
        <v>0</v>
      </c>
      <c r="R15" s="150">
        <f>11876700-217900</f>
        <v>11658800</v>
      </c>
      <c r="S15" s="150">
        <f t="shared" si="2"/>
        <v>0</v>
      </c>
      <c r="T15" s="150">
        <v>0</v>
      </c>
      <c r="U15" s="150">
        <v>0</v>
      </c>
    </row>
    <row r="16" spans="1:21" s="156" customFormat="1" ht="60" x14ac:dyDescent="0.25">
      <c r="A16" s="255" t="s">
        <v>78</v>
      </c>
      <c r="B16" s="153" t="s">
        <v>79</v>
      </c>
      <c r="C16" s="158">
        <v>45512270.299999997</v>
      </c>
      <c r="D16" s="158">
        <v>36276091.740000002</v>
      </c>
      <c r="E16" s="150">
        <f>F16+G16</f>
        <v>46582463.510000005</v>
      </c>
      <c r="F16" s="150">
        <f>F18+F19+F20+F21</f>
        <v>0</v>
      </c>
      <c r="G16" s="150">
        <f t="shared" si="0"/>
        <v>46582463.510000005</v>
      </c>
      <c r="H16" s="150">
        <f>H18+H19+H20+H21</f>
        <v>0</v>
      </c>
      <c r="I16" s="150">
        <f>SUM(I18:I21)</f>
        <v>46582463.510000005</v>
      </c>
      <c r="J16" s="150">
        <f>SUM(J19:J21)</f>
        <v>3051035.13</v>
      </c>
      <c r="K16" s="150"/>
      <c r="L16" s="151"/>
      <c r="M16" s="151"/>
      <c r="N16" s="150">
        <f>N18+N19+N20+N21</f>
        <v>0</v>
      </c>
      <c r="O16" s="150">
        <f t="shared" si="1"/>
        <v>36959813</v>
      </c>
      <c r="P16" s="150">
        <f>P18+P19+P20+P21</f>
        <v>0</v>
      </c>
      <c r="Q16" s="150">
        <v>36959813</v>
      </c>
      <c r="R16" s="150">
        <f>R18+R19+R20+R21</f>
        <v>0</v>
      </c>
      <c r="S16" s="150">
        <f t="shared" si="2"/>
        <v>36303332</v>
      </c>
      <c r="T16" s="150">
        <f>T18+T19+T20+T21</f>
        <v>0</v>
      </c>
      <c r="U16" s="150">
        <v>36303332</v>
      </c>
    </row>
    <row r="17" spans="1:21" s="156" customFormat="1" x14ac:dyDescent="0.25">
      <c r="A17" s="255"/>
      <c r="B17" s="153" t="s">
        <v>1</v>
      </c>
      <c r="C17" s="153"/>
      <c r="D17" s="153"/>
      <c r="E17" s="153"/>
      <c r="F17" s="159"/>
      <c r="G17" s="106">
        <f t="shared" si="0"/>
        <v>0</v>
      </c>
      <c r="H17" s="159"/>
      <c r="I17" s="159"/>
      <c r="J17" s="159"/>
      <c r="K17" s="160"/>
      <c r="L17" s="161"/>
      <c r="M17" s="161"/>
      <c r="N17" s="159"/>
      <c r="O17" s="106">
        <f t="shared" si="1"/>
        <v>0</v>
      </c>
      <c r="P17" s="159"/>
      <c r="Q17" s="159"/>
      <c r="R17" s="159"/>
      <c r="S17" s="106">
        <f t="shared" si="2"/>
        <v>0</v>
      </c>
      <c r="T17" s="159"/>
      <c r="U17" s="159"/>
    </row>
    <row r="18" spans="1:21" s="156" customFormat="1" x14ac:dyDescent="0.25">
      <c r="A18" s="255"/>
      <c r="B18" s="162" t="s">
        <v>2</v>
      </c>
      <c r="C18" s="163">
        <v>42779632.030000001</v>
      </c>
      <c r="D18" s="163">
        <v>34570556.75</v>
      </c>
      <c r="E18" s="106">
        <f t="shared" ref="E18:E23" si="3">F18+G18</f>
        <v>43995376.270000003</v>
      </c>
      <c r="F18" s="106"/>
      <c r="G18" s="106">
        <f t="shared" si="0"/>
        <v>43995376.270000003</v>
      </c>
      <c r="H18" s="106"/>
      <c r="I18" s="106">
        <f>33884012.76+8500742.8+1610620.71</f>
        <v>43995376.270000003</v>
      </c>
      <c r="J18" s="106"/>
      <c r="K18" s="162" t="s">
        <v>2</v>
      </c>
      <c r="L18" s="164"/>
      <c r="M18" s="164"/>
      <c r="N18" s="106"/>
      <c r="O18" s="106">
        <f t="shared" si="1"/>
        <v>0</v>
      </c>
      <c r="P18" s="106"/>
      <c r="Q18" s="106"/>
      <c r="R18" s="106"/>
      <c r="S18" s="106">
        <f t="shared" si="2"/>
        <v>0</v>
      </c>
      <c r="T18" s="106"/>
      <c r="U18" s="106"/>
    </row>
    <row r="19" spans="1:21" s="156" customFormat="1" ht="30" x14ac:dyDescent="0.25">
      <c r="A19" s="255"/>
      <c r="B19" s="72" t="s">
        <v>10</v>
      </c>
      <c r="C19" s="165">
        <v>295463.1100000001</v>
      </c>
      <c r="D19" s="165">
        <v>216497.81999999998</v>
      </c>
      <c r="E19" s="106">
        <f t="shared" si="3"/>
        <v>382923.2</v>
      </c>
      <c r="F19" s="106"/>
      <c r="G19" s="106">
        <f t="shared" si="0"/>
        <v>382923.2</v>
      </c>
      <c r="H19" s="106"/>
      <c r="I19" s="106">
        <v>382923.2</v>
      </c>
      <c r="J19" s="106">
        <v>0</v>
      </c>
      <c r="K19" s="166"/>
      <c r="L19" s="167"/>
      <c r="M19" s="167"/>
      <c r="N19" s="106"/>
      <c r="O19" s="106">
        <f t="shared" si="1"/>
        <v>0</v>
      </c>
      <c r="P19" s="106"/>
      <c r="Q19" s="106"/>
      <c r="R19" s="106"/>
      <c r="S19" s="106">
        <f t="shared" si="2"/>
        <v>0</v>
      </c>
      <c r="T19" s="106"/>
      <c r="U19" s="106"/>
    </row>
    <row r="20" spans="1:21" s="152" customFormat="1" ht="30" x14ac:dyDescent="0.25">
      <c r="A20" s="255"/>
      <c r="B20" s="72" t="s">
        <v>11</v>
      </c>
      <c r="C20" s="165">
        <v>554354.73</v>
      </c>
      <c r="D20" s="165">
        <v>395828.61</v>
      </c>
      <c r="E20" s="106">
        <f t="shared" si="3"/>
        <v>562504.4</v>
      </c>
      <c r="F20" s="106"/>
      <c r="G20" s="106">
        <f t="shared" si="0"/>
        <v>562504.4</v>
      </c>
      <c r="H20" s="106"/>
      <c r="I20" s="106">
        <v>562504.4</v>
      </c>
      <c r="J20" s="106">
        <v>0</v>
      </c>
      <c r="K20" s="166"/>
      <c r="L20" s="167"/>
      <c r="M20" s="167"/>
      <c r="N20" s="106"/>
      <c r="O20" s="106">
        <f t="shared" si="1"/>
        <v>0</v>
      </c>
      <c r="P20" s="106"/>
      <c r="Q20" s="106"/>
      <c r="R20" s="106"/>
      <c r="S20" s="106">
        <f t="shared" si="2"/>
        <v>0</v>
      </c>
      <c r="T20" s="106"/>
      <c r="U20" s="106"/>
    </row>
    <row r="21" spans="1:21" s="152" customFormat="1" ht="60" x14ac:dyDescent="0.25">
      <c r="A21" s="255"/>
      <c r="B21" s="72" t="s">
        <v>13</v>
      </c>
      <c r="C21" s="168">
        <f>C16-C18-C19-C20</f>
        <v>1882820.4299999955</v>
      </c>
      <c r="D21" s="168">
        <f>D16-D18-D19-D20</f>
        <v>1093208.5600000019</v>
      </c>
      <c r="E21" s="106">
        <f t="shared" si="3"/>
        <v>1641659.64</v>
      </c>
      <c r="F21" s="106"/>
      <c r="G21" s="106">
        <f t="shared" si="0"/>
        <v>1641659.64</v>
      </c>
      <c r="H21" s="106"/>
      <c r="I21" s="106">
        <v>1641659.64</v>
      </c>
      <c r="J21" s="106">
        <v>3051035.13</v>
      </c>
      <c r="K21" s="166" t="s">
        <v>304</v>
      </c>
      <c r="L21" s="167"/>
      <c r="M21" s="167"/>
      <c r="N21" s="106"/>
      <c r="O21" s="106">
        <f t="shared" si="1"/>
        <v>0</v>
      </c>
      <c r="P21" s="106"/>
      <c r="Q21" s="106"/>
      <c r="R21" s="106"/>
      <c r="S21" s="106">
        <f t="shared" si="2"/>
        <v>0</v>
      </c>
      <c r="T21" s="106"/>
      <c r="U21" s="106"/>
    </row>
    <row r="22" spans="1:21" s="156" customFormat="1" ht="60" x14ac:dyDescent="0.25">
      <c r="A22" s="255" t="s">
        <v>80</v>
      </c>
      <c r="B22" s="153" t="s">
        <v>453</v>
      </c>
      <c r="C22" s="106">
        <v>24704436.5</v>
      </c>
      <c r="D22" s="106">
        <v>22050440.82</v>
      </c>
      <c r="E22" s="150">
        <f t="shared" si="3"/>
        <v>20814864.800000001</v>
      </c>
      <c r="F22" s="150">
        <v>0</v>
      </c>
      <c r="G22" s="150">
        <f t="shared" si="0"/>
        <v>20814864.800000001</v>
      </c>
      <c r="H22" s="150">
        <v>0</v>
      </c>
      <c r="I22" s="150">
        <f>25000000-4185135.2</f>
        <v>20814864.800000001</v>
      </c>
      <c r="J22" s="150">
        <v>0</v>
      </c>
      <c r="K22" s="169"/>
      <c r="L22" s="170"/>
      <c r="M22" s="170"/>
      <c r="N22" s="150"/>
      <c r="O22" s="150">
        <f t="shared" si="1"/>
        <v>25335000</v>
      </c>
      <c r="P22" s="150"/>
      <c r="Q22" s="150">
        <v>25335000</v>
      </c>
      <c r="R22" s="150"/>
      <c r="S22" s="150">
        <f t="shared" si="2"/>
        <v>24885000</v>
      </c>
      <c r="T22" s="150"/>
      <c r="U22" s="150">
        <v>24885000</v>
      </c>
    </row>
    <row r="23" spans="1:21" s="156" customFormat="1" ht="90" x14ac:dyDescent="0.25">
      <c r="A23" s="255" t="s">
        <v>81</v>
      </c>
      <c r="B23" s="153" t="s">
        <v>82</v>
      </c>
      <c r="C23" s="106">
        <v>1000000</v>
      </c>
      <c r="D23" s="106">
        <f>1000000-763173.22</f>
        <v>236826.78000000003</v>
      </c>
      <c r="E23" s="150">
        <f t="shared" si="3"/>
        <v>1000000</v>
      </c>
      <c r="F23" s="150">
        <v>0</v>
      </c>
      <c r="G23" s="150">
        <f t="shared" si="0"/>
        <v>1000000</v>
      </c>
      <c r="H23" s="150">
        <v>0</v>
      </c>
      <c r="I23" s="150">
        <v>1000000</v>
      </c>
      <c r="J23" s="171">
        <v>0</v>
      </c>
      <c r="K23" s="172"/>
      <c r="L23" s="173"/>
      <c r="M23" s="173"/>
      <c r="N23" s="171"/>
      <c r="O23" s="150">
        <f t="shared" si="1"/>
        <v>1013400</v>
      </c>
      <c r="P23" s="171"/>
      <c r="Q23" s="171">
        <v>1013400</v>
      </c>
      <c r="R23" s="171"/>
      <c r="S23" s="150">
        <f t="shared" si="2"/>
        <v>995400</v>
      </c>
      <c r="T23" s="171"/>
      <c r="U23" s="171">
        <v>995400</v>
      </c>
    </row>
    <row r="24" spans="1:21" s="156" customFormat="1" ht="28.5" x14ac:dyDescent="0.25">
      <c r="A24" s="255" t="s">
        <v>83</v>
      </c>
      <c r="B24" s="149" t="s">
        <v>84</v>
      </c>
      <c r="C24" s="148">
        <f>C25</f>
        <v>3000000</v>
      </c>
      <c r="D24" s="148">
        <f>D25</f>
        <v>274638.36</v>
      </c>
      <c r="E24" s="148">
        <f>E25</f>
        <v>2927220</v>
      </c>
      <c r="F24" s="148">
        <f>F25</f>
        <v>0</v>
      </c>
      <c r="G24" s="148">
        <f t="shared" si="0"/>
        <v>2927220</v>
      </c>
      <c r="H24" s="148">
        <f>H25</f>
        <v>0</v>
      </c>
      <c r="I24" s="148">
        <f>I25</f>
        <v>2927220</v>
      </c>
      <c r="J24" s="148">
        <f>J25</f>
        <v>0</v>
      </c>
      <c r="K24" s="174"/>
      <c r="L24" s="175"/>
      <c r="M24" s="175"/>
      <c r="N24" s="148">
        <f>N25</f>
        <v>0</v>
      </c>
      <c r="O24" s="148">
        <f t="shared" si="1"/>
        <v>3517360</v>
      </c>
      <c r="P24" s="148">
        <f>P25</f>
        <v>0</v>
      </c>
      <c r="Q24" s="148">
        <f>Q25</f>
        <v>3517360</v>
      </c>
      <c r="R24" s="148">
        <f>R25</f>
        <v>0</v>
      </c>
      <c r="S24" s="148">
        <f t="shared" si="2"/>
        <v>3567322.5</v>
      </c>
      <c r="T24" s="148">
        <f>T25</f>
        <v>0</v>
      </c>
      <c r="U24" s="148">
        <f>U25</f>
        <v>3567322.5</v>
      </c>
    </row>
    <row r="25" spans="1:21" s="176" customFormat="1" ht="30" x14ac:dyDescent="0.25">
      <c r="A25" s="254" t="s">
        <v>85</v>
      </c>
      <c r="B25" s="153" t="s">
        <v>86</v>
      </c>
      <c r="C25" s="106">
        <v>3000000</v>
      </c>
      <c r="D25" s="163">
        <v>274638.36</v>
      </c>
      <c r="E25" s="106">
        <f>F25+G25</f>
        <v>2927220</v>
      </c>
      <c r="F25" s="106">
        <v>0</v>
      </c>
      <c r="G25" s="106">
        <f t="shared" si="0"/>
        <v>2927220</v>
      </c>
      <c r="H25" s="106">
        <v>0</v>
      </c>
      <c r="I25" s="106">
        <v>2927220</v>
      </c>
      <c r="J25" s="106">
        <v>0</v>
      </c>
      <c r="K25" s="162"/>
      <c r="L25" s="164"/>
      <c r="M25" s="164"/>
      <c r="N25" s="106"/>
      <c r="O25" s="106">
        <f t="shared" si="1"/>
        <v>3517360</v>
      </c>
      <c r="P25" s="106"/>
      <c r="Q25" s="106">
        <v>3517360</v>
      </c>
      <c r="R25" s="106"/>
      <c r="S25" s="106">
        <f t="shared" si="2"/>
        <v>3567322.5</v>
      </c>
      <c r="T25" s="106">
        <v>0</v>
      </c>
      <c r="U25" s="106">
        <v>3567322.5</v>
      </c>
    </row>
    <row r="26" spans="1:21" s="176" customFormat="1" ht="13.9" x14ac:dyDescent="0.25">
      <c r="A26" s="254"/>
      <c r="B26" s="153"/>
      <c r="C26" s="106"/>
      <c r="D26" s="163"/>
      <c r="E26" s="106"/>
      <c r="F26" s="106"/>
      <c r="G26" s="106"/>
      <c r="H26" s="106"/>
      <c r="I26" s="106"/>
      <c r="J26" s="106"/>
      <c r="K26" s="162"/>
      <c r="L26" s="164"/>
      <c r="M26" s="164"/>
      <c r="N26" s="106"/>
      <c r="O26" s="106"/>
      <c r="P26" s="106"/>
      <c r="Q26" s="106"/>
      <c r="R26" s="106"/>
      <c r="S26" s="106"/>
      <c r="T26" s="106"/>
      <c r="U26" s="106"/>
    </row>
    <row r="27" spans="1:21" s="144" customFormat="1" x14ac:dyDescent="0.25">
      <c r="A27" s="256"/>
      <c r="B27" s="174" t="s">
        <v>14</v>
      </c>
      <c r="C27" s="171">
        <f>C24+C12</f>
        <v>256165367.20999998</v>
      </c>
      <c r="D27" s="171">
        <f>D24+D12</f>
        <v>205730019.12000003</v>
      </c>
      <c r="E27" s="171">
        <f>E24+E12</f>
        <v>251772599.09000003</v>
      </c>
      <c r="F27" s="171">
        <f>F24+F12</f>
        <v>11647100</v>
      </c>
      <c r="G27" s="150">
        <f t="shared" si="0"/>
        <v>240125499.09000003</v>
      </c>
      <c r="H27" s="171">
        <f>H24+H12</f>
        <v>0</v>
      </c>
      <c r="I27" s="171">
        <f>I24+I12</f>
        <v>240125499.09000003</v>
      </c>
      <c r="J27" s="171">
        <f>J24+J12</f>
        <v>65610114.039999999</v>
      </c>
      <c r="K27" s="171"/>
      <c r="L27" s="177">
        <v>0</v>
      </c>
      <c r="M27" s="177">
        <v>0</v>
      </c>
      <c r="N27" s="171">
        <f>N24+N12</f>
        <v>11653000</v>
      </c>
      <c r="O27" s="150">
        <f t="shared" si="1"/>
        <v>219114054</v>
      </c>
      <c r="P27" s="171">
        <f>P24+P12</f>
        <v>0</v>
      </c>
      <c r="Q27" s="171">
        <f>Q24+Q12</f>
        <v>219114054</v>
      </c>
      <c r="R27" s="171">
        <f>R24+R12</f>
        <v>11658800</v>
      </c>
      <c r="S27" s="150">
        <f t="shared" si="2"/>
        <v>215334589.5</v>
      </c>
      <c r="T27" s="171">
        <f>T24+T12</f>
        <v>0</v>
      </c>
      <c r="U27" s="171">
        <f>U24+U12</f>
        <v>215334589.5</v>
      </c>
    </row>
    <row r="29" spans="1:21" ht="14.45" x14ac:dyDescent="0.3">
      <c r="K29" s="178"/>
      <c r="L29" s="178"/>
      <c r="M29" s="178"/>
    </row>
    <row r="30" spans="1:21" ht="14.45" x14ac:dyDescent="0.3">
      <c r="K30" s="178"/>
      <c r="L30" s="178"/>
      <c r="M30" s="178"/>
    </row>
    <row r="31" spans="1:21" ht="14.45" x14ac:dyDescent="0.3">
      <c r="K31" s="178"/>
      <c r="L31" s="178"/>
      <c r="M31" s="178"/>
    </row>
    <row r="32" spans="1:21" x14ac:dyDescent="0.25">
      <c r="K32" s="178"/>
      <c r="L32" s="178"/>
      <c r="M32" s="178"/>
    </row>
    <row r="34" spans="11:13" x14ac:dyDescent="0.25">
      <c r="K34" s="178"/>
      <c r="L34" s="178"/>
      <c r="M34" s="178"/>
    </row>
  </sheetData>
  <customSheetViews>
    <customSheetView guid="{F55D2626-B25D-4865-88D7-A4040A583D45}" scale="90" showPageBreaks="1" fitToPage="1" topLeftCell="E1">
      <pane ySplit="11" topLeftCell="A12" activePane="bottomLeft" state="frozen"/>
      <selection pane="bottomLeft" activeCell="K15" sqref="K15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A4">
      <pane xSplit="2" ySplit="8" topLeftCell="F24" activePane="bottomRight" state="frozen"/>
      <selection pane="bottomRight" activeCell="J16" sqref="J16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I14" sqref="I14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"/>
    </customSheetView>
    <customSheetView guid="{8286488C-3E2A-4969-AFC8-11C0D17DBFA2}" scale="90" showPageBreaks="1" fitToPage="1">
      <pane xSplit="2" topLeftCell="C1" activePane="topRight" state="frozen"/>
      <selection pane="topRight" activeCell="B13" sqref="B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xSplit="2" topLeftCell="E1" activePane="topRight" state="frozen"/>
      <selection pane="topRight" activeCell="G15" sqref="G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xSplit="2" topLeftCell="C1" activePane="topRight" state="frozen"/>
      <selection pane="topRight" activeCell="I41" sqref="I4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xSplit="2" topLeftCell="C1" activePane="topRight" state="frozen"/>
      <selection pane="topRight" activeCell="I41" sqref="I4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 topLeftCell="A19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topLeftCell="A19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topLeftCell="A10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0"/>
    </customSheetView>
    <customSheetView guid="{887BBBC8-E1A3-4468-951B-36A5511E64E6}" scale="90" showPageBreaks="1" fitToPage="1">
      <pane xSplit="2" topLeftCell="C1" activePane="topRight" state="frozen"/>
      <selection pane="topRight" activeCell="B13" sqref="B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topLeftCell="A19">
      <pane xSplit="2" topLeftCell="C1" activePane="topRight" state="frozen"/>
      <selection pane="topRight" activeCell="C25" sqref="C25:D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topLeftCell="A19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topLeftCell="A19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xSplit="2" topLeftCell="C1" activePane="topRight" state="frozen"/>
      <selection pane="topRight" activeCell="F13" sqref="F13:G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topLeftCell="C1" activePane="topRight" state="frozen"/>
      <selection pane="topRight" activeCell="D25" sqref="D25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A2:U2"/>
    <mergeCell ref="A4:U4"/>
    <mergeCell ref="A6:A10"/>
    <mergeCell ref="B6:B10"/>
    <mergeCell ref="F6:K6"/>
    <mergeCell ref="N6:Q6"/>
    <mergeCell ref="R6:U6"/>
    <mergeCell ref="F7:F10"/>
    <mergeCell ref="G7:I7"/>
    <mergeCell ref="J7:K7"/>
    <mergeCell ref="G8:G10"/>
    <mergeCell ref="H8:I8"/>
    <mergeCell ref="D7:D10"/>
    <mergeCell ref="K8:K10"/>
    <mergeCell ref="T8:U8"/>
    <mergeCell ref="H9:H10"/>
    <mergeCell ref="I9:I10"/>
    <mergeCell ref="P9:P10"/>
    <mergeCell ref="Q9:Q10"/>
    <mergeCell ref="T9:T10"/>
    <mergeCell ref="U9:U10"/>
    <mergeCell ref="N7:N10"/>
    <mergeCell ref="O7:Q7"/>
    <mergeCell ref="R7:R10"/>
    <mergeCell ref="S7:U7"/>
    <mergeCell ref="P8:Q8"/>
    <mergeCell ref="J8:J10"/>
    <mergeCell ref="M6:M10"/>
    <mergeCell ref="L6:L10"/>
    <mergeCell ref="O8:O10"/>
    <mergeCell ref="S8:S10"/>
    <mergeCell ref="C6:D6"/>
    <mergeCell ref="C7:C10"/>
    <mergeCell ref="E6:E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1"/>
  <sheetViews>
    <sheetView zoomScale="85" zoomScaleNormal="85" workbookViewId="0">
      <pane ySplit="11" topLeftCell="A24" activePane="bottomLeft" state="frozen"/>
      <selection activeCell="H14" sqref="H14"/>
      <selection pane="bottomLeft" activeCell="L19" sqref="L19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5.42578125" style="2" customWidth="1"/>
    <col min="4" max="4" width="16.7109375" style="2" customWidth="1"/>
    <col min="5" max="5" width="14.42578125" style="2" customWidth="1"/>
    <col min="6" max="7" width="16.7109375" style="2" customWidth="1"/>
    <col min="8" max="8" width="15.85546875" style="2" customWidth="1"/>
    <col min="9" max="9" width="16.7109375" style="2" customWidth="1"/>
    <col min="10" max="10" width="15.7109375" style="2" customWidth="1"/>
    <col min="11" max="11" width="16.7109375" style="2" customWidth="1"/>
    <col min="12" max="12" width="17.5703125" style="2" customWidth="1"/>
    <col min="13" max="13" width="56.42578125" style="2" customWidth="1"/>
    <col min="14" max="15" width="19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25">
      <c r="A4" s="331" t="s">
        <v>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82" t="s">
        <v>396</v>
      </c>
      <c r="D7" s="283"/>
      <c r="E7" s="282" t="s">
        <v>397</v>
      </c>
      <c r="F7" s="283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2" t="s">
        <v>8</v>
      </c>
      <c r="D8" s="272" t="s">
        <v>410</v>
      </c>
      <c r="E8" s="272" t="s">
        <v>8</v>
      </c>
      <c r="F8" s="272" t="s">
        <v>410</v>
      </c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84"/>
      <c r="D9" s="284"/>
      <c r="E9" s="284"/>
      <c r="F9" s="284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37.5" customHeight="1" x14ac:dyDescent="0.25">
      <c r="A10" s="270"/>
      <c r="B10" s="271"/>
      <c r="C10" s="273"/>
      <c r="D10" s="273"/>
      <c r="E10" s="273"/>
      <c r="F10" s="273"/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8">
        <v>3</v>
      </c>
      <c r="D11" s="238"/>
      <c r="E11" s="238">
        <v>4</v>
      </c>
      <c r="F11" s="238"/>
      <c r="G11" s="238">
        <v>5</v>
      </c>
      <c r="H11" s="244">
        <v>6</v>
      </c>
      <c r="I11" s="233">
        <v>7</v>
      </c>
      <c r="J11" s="238">
        <v>8</v>
      </c>
      <c r="K11" s="244">
        <v>9</v>
      </c>
      <c r="L11" s="238">
        <v>10</v>
      </c>
      <c r="M11" s="244">
        <v>11</v>
      </c>
      <c r="N11" s="249"/>
      <c r="O11" s="249"/>
      <c r="P11" s="244">
        <v>12</v>
      </c>
      <c r="Q11" s="233">
        <v>13</v>
      </c>
      <c r="R11" s="238">
        <v>14</v>
      </c>
      <c r="S11" s="244">
        <v>15</v>
      </c>
      <c r="T11" s="244">
        <v>16</v>
      </c>
      <c r="U11" s="233">
        <v>17</v>
      </c>
      <c r="V11" s="238">
        <v>18</v>
      </c>
      <c r="W11" s="244">
        <v>19</v>
      </c>
    </row>
    <row r="12" spans="1:23" s="19" customFormat="1" ht="42.75" x14ac:dyDescent="0.25">
      <c r="A12" s="234">
        <v>1</v>
      </c>
      <c r="B12" s="143" t="s">
        <v>257</v>
      </c>
      <c r="C12" s="50">
        <f>C13</f>
        <v>0</v>
      </c>
      <c r="D12" s="50">
        <f>D13</f>
        <v>6856457.5599999996</v>
      </c>
      <c r="E12" s="50">
        <f>E13</f>
        <v>0</v>
      </c>
      <c r="F12" s="50">
        <f>F13</f>
        <v>4506048.62</v>
      </c>
      <c r="G12" s="50">
        <f t="shared" ref="G12:G19" si="0">H12+I12</f>
        <v>11407517.9</v>
      </c>
      <c r="H12" s="45">
        <f>H13</f>
        <v>0</v>
      </c>
      <c r="I12" s="45">
        <f>I13</f>
        <v>11407517.9</v>
      </c>
      <c r="J12" s="45">
        <f>J13</f>
        <v>0</v>
      </c>
      <c r="K12" s="45">
        <f>K13</f>
        <v>11407517.9</v>
      </c>
      <c r="L12" s="45">
        <f>L13</f>
        <v>0</v>
      </c>
      <c r="M12" s="5"/>
      <c r="N12" s="9"/>
      <c r="O12" s="9"/>
      <c r="P12" s="45">
        <f t="shared" ref="P12:W12" si="1">P13</f>
        <v>0</v>
      </c>
      <c r="Q12" s="45">
        <f t="shared" si="1"/>
        <v>11407517.9</v>
      </c>
      <c r="R12" s="45">
        <f t="shared" si="1"/>
        <v>0</v>
      </c>
      <c r="S12" s="45">
        <f t="shared" si="1"/>
        <v>11407517.9</v>
      </c>
      <c r="T12" s="45">
        <f t="shared" si="1"/>
        <v>0</v>
      </c>
      <c r="U12" s="45">
        <f t="shared" si="1"/>
        <v>11407517.9</v>
      </c>
      <c r="V12" s="45">
        <f t="shared" si="1"/>
        <v>0</v>
      </c>
      <c r="W12" s="45">
        <f t="shared" si="1"/>
        <v>11407517.9</v>
      </c>
    </row>
    <row r="13" spans="1:23" s="19" customFormat="1" ht="30" x14ac:dyDescent="0.25">
      <c r="A13" s="233">
        <v>1</v>
      </c>
      <c r="B13" s="13" t="s">
        <v>452</v>
      </c>
      <c r="C13" s="5">
        <v>0</v>
      </c>
      <c r="D13" s="5">
        <v>6856457.5599999996</v>
      </c>
      <c r="E13" s="5">
        <v>0</v>
      </c>
      <c r="F13" s="4">
        <v>4506048.62</v>
      </c>
      <c r="G13" s="4">
        <f t="shared" si="0"/>
        <v>11407517.9</v>
      </c>
      <c r="H13" s="8">
        <v>0</v>
      </c>
      <c r="I13" s="8">
        <f>J13+K13</f>
        <v>11407517.9</v>
      </c>
      <c r="J13" s="8">
        <v>0</v>
      </c>
      <c r="K13" s="8">
        <v>11407517.9</v>
      </c>
      <c r="L13" s="8">
        <v>0</v>
      </c>
      <c r="M13" s="38"/>
      <c r="N13" s="9"/>
      <c r="O13" s="9"/>
      <c r="P13" s="8">
        <v>0</v>
      </c>
      <c r="Q13" s="8">
        <f>R13+S13</f>
        <v>11407517.9</v>
      </c>
      <c r="R13" s="8">
        <v>0</v>
      </c>
      <c r="S13" s="8">
        <f>K13</f>
        <v>11407517.9</v>
      </c>
      <c r="T13" s="8">
        <v>0</v>
      </c>
      <c r="U13" s="8">
        <f>V13+W13</f>
        <v>11407517.9</v>
      </c>
      <c r="V13" s="8">
        <v>0</v>
      </c>
      <c r="W13" s="8">
        <f>S13</f>
        <v>11407517.9</v>
      </c>
    </row>
    <row r="14" spans="1:23" s="19" customFormat="1" ht="71.25" x14ac:dyDescent="0.25">
      <c r="A14" s="234">
        <v>2</v>
      </c>
      <c r="B14" s="143" t="s">
        <v>258</v>
      </c>
      <c r="C14" s="50">
        <f>C15+C16+C17</f>
        <v>7961700</v>
      </c>
      <c r="D14" s="50">
        <f>D15+D16+D17</f>
        <v>3025820.63</v>
      </c>
      <c r="E14" s="50">
        <f t="shared" ref="E14:F14" si="2">E15+E16+E17</f>
        <v>0</v>
      </c>
      <c r="F14" s="50">
        <f t="shared" si="2"/>
        <v>628320.63</v>
      </c>
      <c r="G14" s="50">
        <f t="shared" si="0"/>
        <v>0</v>
      </c>
      <c r="H14" s="45">
        <f>H15+H16+H17</f>
        <v>0</v>
      </c>
      <c r="I14" s="45">
        <f>I15+I16+I17</f>
        <v>0</v>
      </c>
      <c r="J14" s="45">
        <f>J15+J16+J17</f>
        <v>0</v>
      </c>
      <c r="K14" s="45">
        <f>K15+K16+K17</f>
        <v>0</v>
      </c>
      <c r="L14" s="45">
        <f>L15+L16+L17</f>
        <v>46285000</v>
      </c>
      <c r="M14" s="2"/>
      <c r="N14" s="9"/>
      <c r="O14" s="9"/>
      <c r="P14" s="45">
        <f t="shared" ref="P14:W14" si="3">P15+P16+P17</f>
        <v>0</v>
      </c>
      <c r="Q14" s="45">
        <f t="shared" si="3"/>
        <v>0</v>
      </c>
      <c r="R14" s="45">
        <f t="shared" si="3"/>
        <v>0</v>
      </c>
      <c r="S14" s="45">
        <f t="shared" si="3"/>
        <v>0</v>
      </c>
      <c r="T14" s="45">
        <f t="shared" si="3"/>
        <v>0</v>
      </c>
      <c r="U14" s="45">
        <f t="shared" si="3"/>
        <v>0</v>
      </c>
      <c r="V14" s="45">
        <f t="shared" si="3"/>
        <v>0</v>
      </c>
      <c r="W14" s="45">
        <f t="shared" si="3"/>
        <v>0</v>
      </c>
    </row>
    <row r="15" spans="1:23" s="11" customFormat="1" ht="60" x14ac:dyDescent="0.25">
      <c r="A15" s="233">
        <v>1</v>
      </c>
      <c r="B15" s="13" t="s">
        <v>259</v>
      </c>
      <c r="C15" s="5">
        <v>0</v>
      </c>
      <c r="D15" s="5">
        <v>209280.63</v>
      </c>
      <c r="E15" s="5">
        <v>0</v>
      </c>
      <c r="F15" s="4">
        <v>209280.63</v>
      </c>
      <c r="G15" s="4">
        <f t="shared" si="0"/>
        <v>0</v>
      </c>
      <c r="H15" s="8">
        <v>0</v>
      </c>
      <c r="I15" s="8">
        <f t="shared" ref="I15:I16" si="4">J15+K15</f>
        <v>0</v>
      </c>
      <c r="J15" s="8">
        <v>0</v>
      </c>
      <c r="K15" s="8">
        <v>0</v>
      </c>
      <c r="L15" s="8">
        <f>9000000+15000000</f>
        <v>24000000</v>
      </c>
      <c r="M15" s="39" t="s">
        <v>260</v>
      </c>
      <c r="N15" s="9"/>
      <c r="O15" s="9"/>
      <c r="P15" s="8">
        <v>0</v>
      </c>
      <c r="Q15" s="8">
        <f t="shared" ref="Q15:Q19" si="5">R15+S15</f>
        <v>0</v>
      </c>
      <c r="R15" s="8">
        <v>0</v>
      </c>
      <c r="S15" s="8">
        <v>0</v>
      </c>
      <c r="T15" s="8">
        <v>0</v>
      </c>
      <c r="U15" s="8">
        <f t="shared" ref="U15:U19" si="6">V15+W15</f>
        <v>0</v>
      </c>
      <c r="V15" s="8">
        <v>0</v>
      </c>
      <c r="W15" s="8">
        <v>0</v>
      </c>
    </row>
    <row r="16" spans="1:23" s="11" customFormat="1" ht="45" x14ac:dyDescent="0.25">
      <c r="A16" s="233">
        <v>2</v>
      </c>
      <c r="B16" s="13" t="s">
        <v>261</v>
      </c>
      <c r="C16" s="5">
        <v>7961700</v>
      </c>
      <c r="D16" s="5">
        <v>419040</v>
      </c>
      <c r="E16" s="5">
        <v>0</v>
      </c>
      <c r="F16" s="4">
        <v>419040</v>
      </c>
      <c r="G16" s="4">
        <f t="shared" si="0"/>
        <v>0</v>
      </c>
      <c r="H16" s="8">
        <v>0</v>
      </c>
      <c r="I16" s="8">
        <f t="shared" si="4"/>
        <v>0</v>
      </c>
      <c r="J16" s="8">
        <v>0</v>
      </c>
      <c r="K16" s="8">
        <v>0</v>
      </c>
      <c r="L16" s="8">
        <f>8385000+5000000+7000000</f>
        <v>20385000</v>
      </c>
      <c r="M16" s="39" t="s">
        <v>262</v>
      </c>
      <c r="N16" s="9"/>
      <c r="O16" s="9"/>
      <c r="P16" s="8">
        <v>0</v>
      </c>
      <c r="Q16" s="8">
        <f t="shared" si="5"/>
        <v>0</v>
      </c>
      <c r="R16" s="8">
        <v>0</v>
      </c>
      <c r="S16" s="8">
        <v>0</v>
      </c>
      <c r="T16" s="8">
        <v>0</v>
      </c>
      <c r="U16" s="8">
        <f t="shared" si="6"/>
        <v>0</v>
      </c>
      <c r="V16" s="8">
        <v>0</v>
      </c>
      <c r="W16" s="8">
        <v>0</v>
      </c>
    </row>
    <row r="17" spans="1:23" s="11" customFormat="1" ht="30" x14ac:dyDescent="0.25">
      <c r="A17" s="233">
        <v>3</v>
      </c>
      <c r="B17" s="13" t="s">
        <v>263</v>
      </c>
      <c r="C17" s="5">
        <v>0</v>
      </c>
      <c r="D17" s="5">
        <v>2397500</v>
      </c>
      <c r="E17" s="5">
        <v>0</v>
      </c>
      <c r="F17" s="4"/>
      <c r="G17" s="4">
        <f t="shared" si="0"/>
        <v>0</v>
      </c>
      <c r="H17" s="8">
        <v>0</v>
      </c>
      <c r="I17" s="8">
        <v>0</v>
      </c>
      <c r="J17" s="8">
        <v>0</v>
      </c>
      <c r="K17" s="8">
        <v>0</v>
      </c>
      <c r="L17" s="8">
        <f>1900000</f>
        <v>1900000</v>
      </c>
      <c r="M17" s="39" t="s">
        <v>264</v>
      </c>
      <c r="N17" s="9"/>
      <c r="O17" s="9"/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 s="11" customFormat="1" ht="71.25" x14ac:dyDescent="0.25">
      <c r="A18" s="234">
        <v>3</v>
      </c>
      <c r="B18" s="143" t="s">
        <v>265</v>
      </c>
      <c r="C18" s="50">
        <f>C19</f>
        <v>0</v>
      </c>
      <c r="D18" s="50">
        <f>D19</f>
        <v>31994742.629999999</v>
      </c>
      <c r="E18" s="50">
        <f>E19</f>
        <v>0</v>
      </c>
      <c r="F18" s="50">
        <f>F19</f>
        <v>20331722.030000001</v>
      </c>
      <c r="G18" s="50">
        <f t="shared" si="0"/>
        <v>20029982.100000001</v>
      </c>
      <c r="H18" s="45">
        <f>H19</f>
        <v>0</v>
      </c>
      <c r="I18" s="45">
        <f>I19</f>
        <v>20029982.100000001</v>
      </c>
      <c r="J18" s="45">
        <f>J19</f>
        <v>0</v>
      </c>
      <c r="K18" s="45">
        <f>K19</f>
        <v>20029982.100000001</v>
      </c>
      <c r="L18" s="45">
        <f>L19</f>
        <v>14478259.839999996</v>
      </c>
      <c r="M18" s="39"/>
      <c r="N18" s="9"/>
      <c r="O18" s="9"/>
      <c r="P18" s="45">
        <f t="shared" ref="P18:W18" si="7">P19</f>
        <v>0</v>
      </c>
      <c r="Q18" s="45">
        <f t="shared" si="7"/>
        <v>20450182.100000001</v>
      </c>
      <c r="R18" s="45">
        <f t="shared" si="7"/>
        <v>0</v>
      </c>
      <c r="S18" s="45">
        <f t="shared" si="7"/>
        <v>20450182.100000001</v>
      </c>
      <c r="T18" s="45">
        <f t="shared" si="7"/>
        <v>0</v>
      </c>
      <c r="U18" s="45">
        <f t="shared" si="7"/>
        <v>19883782.100000001</v>
      </c>
      <c r="V18" s="45">
        <f t="shared" si="7"/>
        <v>0</v>
      </c>
      <c r="W18" s="45">
        <f t="shared" si="7"/>
        <v>19883782.100000001</v>
      </c>
    </row>
    <row r="19" spans="1:23" s="11" customFormat="1" ht="201.75" customHeight="1" x14ac:dyDescent="0.25">
      <c r="A19" s="233">
        <v>1</v>
      </c>
      <c r="B19" s="13" t="s">
        <v>266</v>
      </c>
      <c r="C19" s="5">
        <v>0</v>
      </c>
      <c r="D19" s="5">
        <v>31994742.629999999</v>
      </c>
      <c r="E19" s="5">
        <v>0</v>
      </c>
      <c r="F19" s="5">
        <v>20331722.030000001</v>
      </c>
      <c r="G19" s="4">
        <f t="shared" si="0"/>
        <v>20029982.100000001</v>
      </c>
      <c r="H19" s="8">
        <v>0</v>
      </c>
      <c r="I19" s="8">
        <f>J19+K19</f>
        <v>20029982.100000001</v>
      </c>
      <c r="J19" s="8">
        <v>0</v>
      </c>
      <c r="K19" s="8">
        <v>20029982.100000001</v>
      </c>
      <c r="L19" s="8">
        <f>33426314.54+1081927.4-20029982.1</f>
        <v>14478259.839999996</v>
      </c>
      <c r="M19" s="39" t="s">
        <v>374</v>
      </c>
      <c r="N19" s="9">
        <f>7130000-3000000</f>
        <v>4130000</v>
      </c>
      <c r="O19" s="9">
        <f>L19-N19</f>
        <v>10348259.839999996</v>
      </c>
      <c r="P19" s="8">
        <v>0</v>
      </c>
      <c r="Q19" s="8">
        <f t="shared" si="5"/>
        <v>20450182.100000001</v>
      </c>
      <c r="R19" s="8">
        <v>0</v>
      </c>
      <c r="S19" s="8">
        <v>20450182.100000001</v>
      </c>
      <c r="T19" s="8">
        <v>0</v>
      </c>
      <c r="U19" s="8">
        <f t="shared" si="6"/>
        <v>19883782.100000001</v>
      </c>
      <c r="V19" s="8">
        <v>0</v>
      </c>
      <c r="W19" s="8">
        <v>19883782.100000001</v>
      </c>
    </row>
    <row r="20" spans="1:23" s="11" customFormat="1" ht="36" customHeight="1" x14ac:dyDescent="0.25">
      <c r="A20" s="233"/>
      <c r="B20" s="13"/>
      <c r="C20" s="5"/>
      <c r="D20" s="5"/>
      <c r="E20" s="5"/>
      <c r="F20" s="5"/>
      <c r="G20" s="4"/>
      <c r="H20" s="8"/>
      <c r="I20" s="8"/>
      <c r="J20" s="8"/>
      <c r="K20" s="8"/>
      <c r="L20" s="8"/>
      <c r="M20" s="39"/>
      <c r="N20" s="9">
        <v>0</v>
      </c>
      <c r="O20" s="9"/>
      <c r="P20" s="8"/>
      <c r="Q20" s="8"/>
      <c r="R20" s="8"/>
      <c r="S20" s="8"/>
      <c r="T20" s="8"/>
      <c r="U20" s="8"/>
      <c r="V20" s="8"/>
      <c r="W20" s="8"/>
    </row>
    <row r="21" spans="1:23" s="19" customFormat="1" x14ac:dyDescent="0.25">
      <c r="A21" s="237"/>
      <c r="B21" s="15" t="s">
        <v>14</v>
      </c>
      <c r="C21" s="142">
        <f t="shared" ref="C21:L21" si="8">C12+C14+C18</f>
        <v>7961700</v>
      </c>
      <c r="D21" s="142">
        <f t="shared" si="8"/>
        <v>41877020.82</v>
      </c>
      <c r="E21" s="142">
        <f t="shared" si="8"/>
        <v>0</v>
      </c>
      <c r="F21" s="142">
        <f t="shared" si="8"/>
        <v>25466091.280000001</v>
      </c>
      <c r="G21" s="142">
        <f t="shared" si="8"/>
        <v>31437500</v>
      </c>
      <c r="H21" s="16">
        <f t="shared" si="8"/>
        <v>0</v>
      </c>
      <c r="I21" s="16">
        <f t="shared" si="8"/>
        <v>31437500</v>
      </c>
      <c r="J21" s="16">
        <f t="shared" si="8"/>
        <v>0</v>
      </c>
      <c r="K21" s="16">
        <f t="shared" si="8"/>
        <v>31437500</v>
      </c>
      <c r="L21" s="16">
        <f t="shared" si="8"/>
        <v>60763259.839999996</v>
      </c>
      <c r="M21" s="16"/>
      <c r="N21" s="18">
        <f>SUM(N12:N20)</f>
        <v>4130000</v>
      </c>
      <c r="O21" s="18">
        <f>SUM(O12:O20)</f>
        <v>10348259.839999996</v>
      </c>
      <c r="P21" s="16">
        <f t="shared" ref="P21:W21" si="9">P12+P14+P18</f>
        <v>0</v>
      </c>
      <c r="Q21" s="16">
        <f t="shared" si="9"/>
        <v>31857700</v>
      </c>
      <c r="R21" s="16">
        <f t="shared" si="9"/>
        <v>0</v>
      </c>
      <c r="S21" s="16">
        <f t="shared" si="9"/>
        <v>31857700</v>
      </c>
      <c r="T21" s="16">
        <f t="shared" si="9"/>
        <v>0</v>
      </c>
      <c r="U21" s="16">
        <f t="shared" si="9"/>
        <v>31291300</v>
      </c>
      <c r="V21" s="16">
        <f t="shared" si="9"/>
        <v>0</v>
      </c>
      <c r="W21" s="16">
        <f t="shared" si="9"/>
        <v>31291300</v>
      </c>
    </row>
  </sheetData>
  <customSheetViews>
    <customSheetView guid="{F55D2626-B25D-4865-88D7-A4040A583D45}" scale="85" showPageBreaks="1" fitToPage="1" topLeftCell="D1">
      <pane ySplit="11" topLeftCell="A20" activePane="bottomLeft" state="frozen"/>
      <selection pane="bottomLeft" activeCell="L21" sqref="L21:M21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1"/>
    </customSheetView>
    <customSheetView guid="{9D6C8421-31F4-449D-B427-1D13044E970D}" scale="85" showPageBreaks="1" fitToPage="1" topLeftCell="I1">
      <pane ySplit="11" topLeftCell="A12" activePane="bottomLeft" state="frozen"/>
      <selection pane="bottomLeft" activeCell="N13" sqref="N13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2"/>
    </customSheetView>
    <customSheetView guid="{CCAC52F4-1AE6-4B0C-B39F-86F6AB8E32E1}" scale="85" showPageBreaks="1" fitToPage="1">
      <pane ySplit="11" topLeftCell="A12" activePane="bottomLeft" state="frozen"/>
      <selection pane="bottomLeft" activeCell="G13" sqref="G13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"/>
    </customSheetView>
    <customSheetView guid="{8286488C-3E2A-4969-AFC8-11C0D17DBFA2}" scale="85" showPageBreaks="1" fitToPage="1">
      <pane ySplit="11" topLeftCell="A12" activePane="bottomLeft" state="frozen"/>
      <selection pane="bottomLeft" activeCell="F18" sqref="F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85" fitToPage="1">
      <pane ySplit="11" topLeftCell="A12" activePane="bottomLeft" state="frozen"/>
      <selection pane="bottomLeft" activeCell="F26" sqref="F26"/>
      <pageMargins left="0.17" right="0.17" top="0.35433070866141736" bottom="0.35433070866141736" header="0.31496062992125984" footer="0.31496062992125984"/>
      <pageSetup paperSize="9" scale="39" fitToHeight="2" orientation="landscape" verticalDpi="180" r:id="rId5"/>
    </customSheetView>
    <customSheetView guid="{A8921178-F68B-4A7A-94A0-4276A60BD3E0}" scale="85" showPageBreaks="1" fitToPage="1">
      <pane ySplit="11" topLeftCell="A12" activePane="bottomLeft" state="frozen"/>
      <selection pane="bottomLeft" activeCell="A22" sqref="A22:XFD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85" fitToPage="1">
      <pane ySplit="11" topLeftCell="A12" activePane="bottomLeft" state="frozen"/>
      <selection pane="bottomLeft" activeCell="A22" sqref="A22:XFD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85" showPageBreaks="1" fitToPage="1">
      <pane ySplit="11" topLeftCell="A12" activePane="bottomLeft" state="frozen"/>
      <selection pane="bottomLeft" activeCell="F30" sqref="F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85" showPageBreaks="1" fitToPage="1">
      <pane ySplit="11" topLeftCell="A12" activePane="bottomLeft" state="frozen"/>
      <selection pane="bottomLeft" activeCell="F30" sqref="F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85" showPageBreaks="1" fitToPage="1">
      <pane ySplit="11" topLeftCell="A12" activePane="bottomLeft" state="frozen"/>
      <selection pane="bottomLeft" activeCell="F30" sqref="F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85" showPageBreaks="1" fitToPage="1">
      <pane ySplit="11" topLeftCell="A12" activePane="bottomLeft" state="frozen"/>
      <selection pane="bottomLeft" activeCell="F30" sqref="F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85" showPageBreaks="1" fitToPage="1">
      <pane ySplit="11" topLeftCell="A12" activePane="bottomLeft" state="frozen"/>
      <selection pane="bottomLeft" activeCell="A22" sqref="A22:XFD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85" showPageBreaks="1" fitToPage="1">
      <pane ySplit="11" topLeftCell="A12" activePane="bottomLeft" state="frozen"/>
      <selection pane="bottomLeft" activeCell="A22" sqref="A22:XFD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85" showPageBreaks="1" fitToPage="1">
      <pane ySplit="11" topLeftCell="A12" activePane="bottomLeft" state="frozen"/>
      <selection pane="bottomLeft" activeCell="A22" sqref="A22:XFD2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85" showPageBreaks="1" fitToPage="1">
      <pane ySplit="11" topLeftCell="A18" activePane="bottomLeft" state="frozen"/>
      <selection pane="bottomLeft" activeCell="F26" sqref="F2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85" showPageBreaks="1" fitToPage="1">
      <pane xSplit="2" ySplit="11" topLeftCell="C20" activePane="bottomRight" state="frozen"/>
      <selection pane="bottomRight" activeCell="C6" sqref="C6:F10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16"/>
    </customSheetView>
  </customSheetViews>
  <mergeCells count="38">
    <mergeCell ref="C7:D7"/>
    <mergeCell ref="C8:C10"/>
    <mergeCell ref="C6:F6"/>
    <mergeCell ref="D8:D10"/>
    <mergeCell ref="E8:E10"/>
    <mergeCell ref="F8:F10"/>
    <mergeCell ref="E7:F7"/>
    <mergeCell ref="G6:G10"/>
    <mergeCell ref="N6:N10"/>
    <mergeCell ref="O6:O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L8:L10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Q8:Q10"/>
    <mergeCell ref="U8:U10"/>
    <mergeCell ref="M8:M10"/>
  </mergeCells>
  <pageMargins left="0.31496062992125984" right="0.31496062992125984" top="0.35433070866141736" bottom="0.35433070866141736" header="0.31496062992125984" footer="0.31496062992125984"/>
  <pageSetup paperSize="9" scale="30" fitToHeight="2" orientation="landscape" verticalDpi="180" r:id="rId1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9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6" width="16.85546875" style="2" customWidth="1"/>
    <col min="7" max="7" width="15.28515625" style="2" customWidth="1"/>
    <col min="8" max="8" width="16.85546875" style="2" customWidth="1"/>
    <col min="9" max="9" width="13.140625" style="2" customWidth="1"/>
    <col min="10" max="10" width="16.85546875" style="2" customWidth="1"/>
    <col min="11" max="11" width="14.5703125" style="2" customWidth="1"/>
    <col min="12" max="12" width="17.5703125" style="2" customWidth="1"/>
    <col min="13" max="13" width="39.5703125" style="2" customWidth="1"/>
    <col min="14" max="15" width="19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25">
      <c r="A4" s="323" t="s">
        <v>55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82" t="s">
        <v>396</v>
      </c>
      <c r="D7" s="283"/>
      <c r="E7" s="282" t="s">
        <v>397</v>
      </c>
      <c r="F7" s="283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2" t="s">
        <v>8</v>
      </c>
      <c r="D8" s="272" t="s">
        <v>410</v>
      </c>
      <c r="E8" s="272" t="s">
        <v>8</v>
      </c>
      <c r="F8" s="272" t="s">
        <v>410</v>
      </c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84"/>
      <c r="D9" s="284"/>
      <c r="E9" s="284"/>
      <c r="F9" s="284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54" customHeight="1" x14ac:dyDescent="0.25">
      <c r="A10" s="270"/>
      <c r="B10" s="271"/>
      <c r="C10" s="273"/>
      <c r="D10" s="273"/>
      <c r="E10" s="273"/>
      <c r="F10" s="273"/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8">
        <v>3</v>
      </c>
      <c r="D11" s="238"/>
      <c r="E11" s="238">
        <v>4</v>
      </c>
      <c r="F11" s="238"/>
      <c r="G11" s="238">
        <v>5</v>
      </c>
      <c r="H11" s="244">
        <v>6</v>
      </c>
      <c r="I11" s="233">
        <v>7</v>
      </c>
      <c r="J11" s="238">
        <v>8</v>
      </c>
      <c r="K11" s="244">
        <v>9</v>
      </c>
      <c r="L11" s="238">
        <v>10</v>
      </c>
      <c r="M11" s="244">
        <v>11</v>
      </c>
      <c r="N11" s="249"/>
      <c r="O11" s="249"/>
      <c r="P11" s="244">
        <v>12</v>
      </c>
      <c r="Q11" s="233">
        <v>13</v>
      </c>
      <c r="R11" s="238">
        <v>14</v>
      </c>
      <c r="S11" s="244">
        <v>15</v>
      </c>
      <c r="T11" s="244">
        <v>16</v>
      </c>
      <c r="U11" s="233">
        <v>17</v>
      </c>
      <c r="V11" s="238">
        <v>18</v>
      </c>
      <c r="W11" s="244">
        <v>19</v>
      </c>
    </row>
    <row r="12" spans="1:23" s="25" customFormat="1" ht="60" x14ac:dyDescent="0.25">
      <c r="A12" s="241">
        <v>1</v>
      </c>
      <c r="B12" s="22" t="s">
        <v>92</v>
      </c>
      <c r="C12" s="124">
        <v>3642253.54</v>
      </c>
      <c r="D12" s="124">
        <v>191697.55</v>
      </c>
      <c r="E12" s="124">
        <v>2460982.13</v>
      </c>
      <c r="F12" s="124">
        <v>129525.37</v>
      </c>
      <c r="G12" s="124">
        <f>H12+I12</f>
        <v>4100000</v>
      </c>
      <c r="H12" s="23">
        <v>3895000</v>
      </c>
      <c r="I12" s="23">
        <f>J12+K12</f>
        <v>205000</v>
      </c>
      <c r="J12" s="23">
        <v>205000</v>
      </c>
      <c r="K12" s="23">
        <f t="shared" ref="K12:W12" si="0">K14+K15+K16+K17+K18</f>
        <v>0</v>
      </c>
      <c r="L12" s="23">
        <v>0</v>
      </c>
      <c r="M12" s="33"/>
      <c r="N12" s="76"/>
      <c r="O12" s="76"/>
      <c r="P12" s="23">
        <v>3895000</v>
      </c>
      <c r="Q12" s="23">
        <f>R12+S12</f>
        <v>205000</v>
      </c>
      <c r="R12" s="23">
        <v>205000</v>
      </c>
      <c r="S12" s="23">
        <f t="shared" si="0"/>
        <v>0</v>
      </c>
      <c r="T12" s="23">
        <v>3895000</v>
      </c>
      <c r="U12" s="23">
        <f>V12+W12</f>
        <v>205000</v>
      </c>
      <c r="V12" s="23">
        <v>205000</v>
      </c>
      <c r="W12" s="23">
        <f t="shared" si="0"/>
        <v>0</v>
      </c>
    </row>
    <row r="13" spans="1:23" s="25" customFormat="1" ht="14.45" hidden="1" x14ac:dyDescent="0.3">
      <c r="A13" s="242"/>
      <c r="B13" s="27" t="s">
        <v>1</v>
      </c>
      <c r="C13" s="27"/>
      <c r="D13" s="27"/>
      <c r="E13" s="27"/>
      <c r="F13" s="27"/>
      <c r="G13" s="27"/>
      <c r="H13" s="23"/>
      <c r="I13" s="23">
        <f t="shared" ref="I13:I18" si="1">J13+K13</f>
        <v>0</v>
      </c>
      <c r="J13" s="23"/>
      <c r="K13" s="23"/>
      <c r="L13" s="23"/>
      <c r="M13" s="24"/>
      <c r="N13" s="73"/>
      <c r="O13" s="73"/>
      <c r="P13" s="23"/>
      <c r="Q13" s="23">
        <f t="shared" ref="Q13:Q18" si="2">R13+S13</f>
        <v>0</v>
      </c>
      <c r="R13" s="23"/>
      <c r="S13" s="23"/>
      <c r="T13" s="23"/>
      <c r="U13" s="23">
        <f t="shared" ref="U13:U18" si="3">V13+W13</f>
        <v>0</v>
      </c>
      <c r="V13" s="23"/>
      <c r="W13" s="23"/>
    </row>
    <row r="14" spans="1:23" s="29" customFormat="1" ht="13.9" hidden="1" x14ac:dyDescent="0.25">
      <c r="A14" s="243" t="s">
        <v>4</v>
      </c>
      <c r="B14" s="28" t="s">
        <v>2</v>
      </c>
      <c r="C14" s="28"/>
      <c r="D14" s="28"/>
      <c r="E14" s="28"/>
      <c r="F14" s="28"/>
      <c r="G14" s="28"/>
      <c r="H14" s="23"/>
      <c r="I14" s="23">
        <f t="shared" si="1"/>
        <v>0</v>
      </c>
      <c r="J14" s="23"/>
      <c r="K14" s="23"/>
      <c r="L14" s="23"/>
      <c r="M14" s="24"/>
      <c r="N14" s="73"/>
      <c r="O14" s="73"/>
      <c r="P14" s="23"/>
      <c r="Q14" s="23">
        <f t="shared" si="2"/>
        <v>0</v>
      </c>
      <c r="R14" s="23"/>
      <c r="S14" s="23"/>
      <c r="T14" s="23"/>
      <c r="U14" s="23">
        <f t="shared" si="3"/>
        <v>0</v>
      </c>
      <c r="V14" s="23"/>
      <c r="W14" s="23"/>
    </row>
    <row r="15" spans="1:23" s="29" customFormat="1" ht="27.6" hidden="1" x14ac:dyDescent="0.25">
      <c r="A15" s="243" t="s">
        <v>5</v>
      </c>
      <c r="B15" s="30" t="s">
        <v>10</v>
      </c>
      <c r="C15" s="30"/>
      <c r="D15" s="30"/>
      <c r="E15" s="30"/>
      <c r="F15" s="30"/>
      <c r="G15" s="30"/>
      <c r="H15" s="23"/>
      <c r="I15" s="23">
        <f t="shared" si="1"/>
        <v>0</v>
      </c>
      <c r="J15" s="23"/>
      <c r="K15" s="23"/>
      <c r="L15" s="23"/>
      <c r="M15" s="28"/>
      <c r="N15" s="74"/>
      <c r="O15" s="74"/>
      <c r="P15" s="23"/>
      <c r="Q15" s="23">
        <f t="shared" si="2"/>
        <v>0</v>
      </c>
      <c r="R15" s="23"/>
      <c r="S15" s="23"/>
      <c r="T15" s="23"/>
      <c r="U15" s="23">
        <f t="shared" si="3"/>
        <v>0</v>
      </c>
      <c r="V15" s="23"/>
      <c r="W15" s="23"/>
    </row>
    <row r="16" spans="1:23" s="29" customFormat="1" ht="27.6" hidden="1" x14ac:dyDescent="0.25">
      <c r="A16" s="243" t="s">
        <v>6</v>
      </c>
      <c r="B16" s="30" t="s">
        <v>11</v>
      </c>
      <c r="C16" s="30"/>
      <c r="D16" s="30"/>
      <c r="E16" s="30"/>
      <c r="F16" s="30"/>
      <c r="G16" s="30"/>
      <c r="H16" s="23"/>
      <c r="I16" s="23">
        <f t="shared" si="1"/>
        <v>0</v>
      </c>
      <c r="J16" s="23"/>
      <c r="K16" s="23"/>
      <c r="L16" s="23"/>
      <c r="M16" s="28"/>
      <c r="N16" s="74"/>
      <c r="O16" s="74"/>
      <c r="P16" s="23"/>
      <c r="Q16" s="23">
        <f t="shared" si="2"/>
        <v>0</v>
      </c>
      <c r="R16" s="23"/>
      <c r="S16" s="23"/>
      <c r="T16" s="23"/>
      <c r="U16" s="23">
        <f t="shared" si="3"/>
        <v>0</v>
      </c>
      <c r="V16" s="23"/>
      <c r="W16" s="23"/>
    </row>
    <row r="17" spans="1:23" s="29" customFormat="1" ht="27.6" hidden="1" x14ac:dyDescent="0.25">
      <c r="A17" s="243" t="s">
        <v>7</v>
      </c>
      <c r="B17" s="30" t="s">
        <v>13</v>
      </c>
      <c r="C17" s="30"/>
      <c r="D17" s="30"/>
      <c r="E17" s="30"/>
      <c r="F17" s="30"/>
      <c r="G17" s="30"/>
      <c r="H17" s="31"/>
      <c r="I17" s="23">
        <f t="shared" si="1"/>
        <v>0</v>
      </c>
      <c r="J17" s="31"/>
      <c r="K17" s="31"/>
      <c r="L17" s="31"/>
      <c r="M17" s="32"/>
      <c r="N17" s="75"/>
      <c r="O17" s="75"/>
      <c r="P17" s="31"/>
      <c r="Q17" s="23">
        <f t="shared" si="2"/>
        <v>0</v>
      </c>
      <c r="R17" s="31"/>
      <c r="S17" s="31"/>
      <c r="T17" s="31"/>
      <c r="U17" s="23">
        <f t="shared" si="3"/>
        <v>0</v>
      </c>
      <c r="V17" s="31"/>
      <c r="W17" s="31"/>
    </row>
    <row r="18" spans="1:23" s="29" customFormat="1" ht="27.6" hidden="1" x14ac:dyDescent="0.25">
      <c r="A18" s="243" t="s">
        <v>12</v>
      </c>
      <c r="B18" s="30" t="s">
        <v>3</v>
      </c>
      <c r="C18" s="30"/>
      <c r="D18" s="30"/>
      <c r="E18" s="30"/>
      <c r="F18" s="30"/>
      <c r="G18" s="30"/>
      <c r="H18" s="23"/>
      <c r="I18" s="23">
        <f t="shared" si="1"/>
        <v>0</v>
      </c>
      <c r="J18" s="23"/>
      <c r="K18" s="23"/>
      <c r="L18" s="23"/>
      <c r="M18" s="33"/>
      <c r="N18" s="76"/>
      <c r="O18" s="76"/>
      <c r="P18" s="23"/>
      <c r="Q18" s="23">
        <f t="shared" si="2"/>
        <v>0</v>
      </c>
      <c r="R18" s="23"/>
      <c r="S18" s="23"/>
      <c r="T18" s="23"/>
      <c r="U18" s="23">
        <f t="shared" si="3"/>
        <v>0</v>
      </c>
      <c r="V18" s="23"/>
      <c r="W18" s="23"/>
    </row>
    <row r="19" spans="1:23" s="29" customFormat="1" ht="27.6" hidden="1" x14ac:dyDescent="0.25">
      <c r="A19" s="241">
        <v>2</v>
      </c>
      <c r="B19" s="22" t="s">
        <v>29</v>
      </c>
      <c r="C19" s="22"/>
      <c r="D19" s="22"/>
      <c r="E19" s="22"/>
      <c r="F19" s="22"/>
      <c r="G19" s="22"/>
      <c r="H19" s="23">
        <f>H21+H22+H23+H24+H25</f>
        <v>0</v>
      </c>
      <c r="I19" s="23">
        <f>J19+K19</f>
        <v>0</v>
      </c>
      <c r="J19" s="23">
        <f t="shared" ref="J19:L19" si="4">J21+J22+J23+J24+J25</f>
        <v>0</v>
      </c>
      <c r="K19" s="23">
        <f t="shared" si="4"/>
        <v>0</v>
      </c>
      <c r="L19" s="23">
        <f t="shared" si="4"/>
        <v>0</v>
      </c>
      <c r="M19" s="24"/>
      <c r="N19" s="73"/>
      <c r="O19" s="73"/>
      <c r="P19" s="23">
        <f t="shared" ref="P19" si="5">P21+P22+P23+P24+P25</f>
        <v>0</v>
      </c>
      <c r="Q19" s="23">
        <f>R19+S19</f>
        <v>0</v>
      </c>
      <c r="R19" s="23">
        <f t="shared" ref="R19:T19" si="6">R21+R22+R23+R24+R25</f>
        <v>0</v>
      </c>
      <c r="S19" s="23">
        <f t="shared" si="6"/>
        <v>0</v>
      </c>
      <c r="T19" s="23">
        <f t="shared" si="6"/>
        <v>0</v>
      </c>
      <c r="U19" s="23">
        <f>V19+W19</f>
        <v>0</v>
      </c>
      <c r="V19" s="23">
        <f t="shared" ref="V19:W19" si="7">V21+V22+V23+V24+V25</f>
        <v>0</v>
      </c>
      <c r="W19" s="23">
        <f t="shared" si="7"/>
        <v>0</v>
      </c>
    </row>
    <row r="20" spans="1:23" s="25" customFormat="1" ht="14.45" hidden="1" x14ac:dyDescent="0.3">
      <c r="A20" s="242"/>
      <c r="B20" s="27" t="s">
        <v>1</v>
      </c>
      <c r="C20" s="27"/>
      <c r="D20" s="27"/>
      <c r="E20" s="27"/>
      <c r="F20" s="27"/>
      <c r="G20" s="27"/>
      <c r="H20" s="23"/>
      <c r="I20" s="23">
        <f t="shared" ref="I20:I37" si="8">J20+K20</f>
        <v>0</v>
      </c>
      <c r="J20" s="23"/>
      <c r="K20" s="23"/>
      <c r="L20" s="23"/>
      <c r="M20" s="24"/>
      <c r="N20" s="73"/>
      <c r="O20" s="73"/>
      <c r="P20" s="23"/>
      <c r="Q20" s="23">
        <f t="shared" ref="Q20:Q37" si="9">R20+S20</f>
        <v>0</v>
      </c>
      <c r="R20" s="23"/>
      <c r="S20" s="23"/>
      <c r="T20" s="23"/>
      <c r="U20" s="23">
        <f t="shared" ref="U20:U37" si="10">V20+W20</f>
        <v>0</v>
      </c>
      <c r="V20" s="23"/>
      <c r="W20" s="23"/>
    </row>
    <row r="21" spans="1:23" s="25" customFormat="1" ht="14.45" hidden="1" x14ac:dyDescent="0.3">
      <c r="A21" s="243" t="s">
        <v>4</v>
      </c>
      <c r="B21" s="28" t="s">
        <v>2</v>
      </c>
      <c r="C21" s="28"/>
      <c r="D21" s="28"/>
      <c r="E21" s="28"/>
      <c r="F21" s="28"/>
      <c r="G21" s="28"/>
      <c r="H21" s="23"/>
      <c r="I21" s="23">
        <f t="shared" si="8"/>
        <v>0</v>
      </c>
      <c r="J21" s="23"/>
      <c r="K21" s="23"/>
      <c r="L21" s="23"/>
      <c r="M21" s="24"/>
      <c r="N21" s="73"/>
      <c r="O21" s="73"/>
      <c r="P21" s="23"/>
      <c r="Q21" s="23">
        <f t="shared" si="9"/>
        <v>0</v>
      </c>
      <c r="R21" s="23"/>
      <c r="S21" s="23"/>
      <c r="T21" s="23"/>
      <c r="U21" s="23">
        <f t="shared" si="10"/>
        <v>0</v>
      </c>
      <c r="V21" s="23"/>
      <c r="W21" s="23"/>
    </row>
    <row r="22" spans="1:23" s="25" customFormat="1" ht="53.45" hidden="1" customHeight="1" x14ac:dyDescent="0.3">
      <c r="A22" s="243" t="s">
        <v>5</v>
      </c>
      <c r="B22" s="30" t="s">
        <v>10</v>
      </c>
      <c r="C22" s="30"/>
      <c r="D22" s="30"/>
      <c r="E22" s="30"/>
      <c r="F22" s="30"/>
      <c r="G22" s="30"/>
      <c r="H22" s="23"/>
      <c r="I22" s="23">
        <f t="shared" si="8"/>
        <v>0</v>
      </c>
      <c r="J22" s="23"/>
      <c r="K22" s="23"/>
      <c r="L22" s="23"/>
      <c r="M22" s="28"/>
      <c r="N22" s="74"/>
      <c r="O22" s="74"/>
      <c r="P22" s="23"/>
      <c r="Q22" s="23">
        <f t="shared" si="9"/>
        <v>0</v>
      </c>
      <c r="R22" s="23"/>
      <c r="S22" s="23"/>
      <c r="T22" s="23"/>
      <c r="U22" s="23">
        <f t="shared" si="10"/>
        <v>0</v>
      </c>
      <c r="V22" s="23"/>
      <c r="W22" s="23"/>
    </row>
    <row r="23" spans="1:23" s="29" customFormat="1" ht="27.6" hidden="1" x14ac:dyDescent="0.25">
      <c r="A23" s="243" t="s">
        <v>6</v>
      </c>
      <c r="B23" s="30" t="s">
        <v>11</v>
      </c>
      <c r="C23" s="30"/>
      <c r="D23" s="30"/>
      <c r="E23" s="30"/>
      <c r="F23" s="30"/>
      <c r="G23" s="30"/>
      <c r="H23" s="23"/>
      <c r="I23" s="23">
        <f t="shared" si="8"/>
        <v>0</v>
      </c>
      <c r="J23" s="23"/>
      <c r="K23" s="23"/>
      <c r="L23" s="23"/>
      <c r="M23" s="28"/>
      <c r="N23" s="74"/>
      <c r="O23" s="74"/>
      <c r="P23" s="23"/>
      <c r="Q23" s="23">
        <f t="shared" si="9"/>
        <v>0</v>
      </c>
      <c r="R23" s="23"/>
      <c r="S23" s="23"/>
      <c r="T23" s="23"/>
      <c r="U23" s="23">
        <f t="shared" si="10"/>
        <v>0</v>
      </c>
      <c r="V23" s="23"/>
      <c r="W23" s="23"/>
    </row>
    <row r="24" spans="1:23" s="29" customFormat="1" ht="27.6" hidden="1" x14ac:dyDescent="0.25">
      <c r="A24" s="243" t="s">
        <v>7</v>
      </c>
      <c r="B24" s="30" t="s">
        <v>13</v>
      </c>
      <c r="C24" s="30"/>
      <c r="D24" s="30"/>
      <c r="E24" s="30"/>
      <c r="F24" s="30"/>
      <c r="G24" s="30"/>
      <c r="H24" s="31"/>
      <c r="I24" s="23">
        <f t="shared" si="8"/>
        <v>0</v>
      </c>
      <c r="J24" s="31"/>
      <c r="K24" s="31"/>
      <c r="L24" s="31"/>
      <c r="M24" s="32"/>
      <c r="N24" s="75"/>
      <c r="O24" s="75"/>
      <c r="P24" s="31"/>
      <c r="Q24" s="23">
        <f t="shared" si="9"/>
        <v>0</v>
      </c>
      <c r="R24" s="31"/>
      <c r="S24" s="31"/>
      <c r="T24" s="31"/>
      <c r="U24" s="23">
        <f t="shared" si="10"/>
        <v>0</v>
      </c>
      <c r="V24" s="31"/>
      <c r="W24" s="31"/>
    </row>
    <row r="25" spans="1:23" s="29" customFormat="1" ht="27.6" hidden="1" x14ac:dyDescent="0.25">
      <c r="A25" s="243" t="s">
        <v>12</v>
      </c>
      <c r="B25" s="30" t="s">
        <v>3</v>
      </c>
      <c r="C25" s="30"/>
      <c r="D25" s="30"/>
      <c r="E25" s="30"/>
      <c r="F25" s="30"/>
      <c r="G25" s="30"/>
      <c r="H25" s="23"/>
      <c r="I25" s="23">
        <f t="shared" si="8"/>
        <v>0</v>
      </c>
      <c r="J25" s="23"/>
      <c r="K25" s="23"/>
      <c r="L25" s="23"/>
      <c r="M25" s="33"/>
      <c r="N25" s="76"/>
      <c r="O25" s="76"/>
      <c r="P25" s="23"/>
      <c r="Q25" s="23">
        <f t="shared" si="9"/>
        <v>0</v>
      </c>
      <c r="R25" s="23"/>
      <c r="S25" s="23"/>
      <c r="T25" s="23"/>
      <c r="U25" s="23">
        <f t="shared" si="10"/>
        <v>0</v>
      </c>
      <c r="V25" s="23"/>
      <c r="W25" s="23"/>
    </row>
    <row r="26" spans="1:23" s="11" customFormat="1" ht="13.9" hidden="1" x14ac:dyDescent="0.25">
      <c r="A26" s="234">
        <v>3</v>
      </c>
      <c r="B26" s="13"/>
      <c r="C26" s="13"/>
      <c r="D26" s="13"/>
      <c r="E26" s="13"/>
      <c r="F26" s="13"/>
      <c r="G26" s="13"/>
      <c r="H26" s="8"/>
      <c r="I26" s="8">
        <f t="shared" si="8"/>
        <v>0</v>
      </c>
      <c r="J26" s="8"/>
      <c r="K26" s="8"/>
      <c r="L26" s="8"/>
      <c r="M26" s="34"/>
      <c r="N26" s="42"/>
      <c r="O26" s="42"/>
      <c r="P26" s="8"/>
      <c r="Q26" s="8">
        <f t="shared" si="9"/>
        <v>0</v>
      </c>
      <c r="R26" s="8"/>
      <c r="S26" s="8"/>
      <c r="T26" s="8"/>
      <c r="U26" s="8">
        <f t="shared" si="10"/>
        <v>0</v>
      </c>
      <c r="V26" s="8"/>
      <c r="W26" s="8"/>
    </row>
    <row r="27" spans="1:23" s="11" customFormat="1" ht="13.9" hidden="1" x14ac:dyDescent="0.25">
      <c r="A27" s="234">
        <v>4</v>
      </c>
      <c r="B27" s="13"/>
      <c r="C27" s="13"/>
      <c r="D27" s="13"/>
      <c r="E27" s="13"/>
      <c r="F27" s="13"/>
      <c r="G27" s="13"/>
      <c r="H27" s="8"/>
      <c r="I27" s="8">
        <f t="shared" si="8"/>
        <v>0</v>
      </c>
      <c r="J27" s="8"/>
      <c r="K27" s="8"/>
      <c r="L27" s="8"/>
      <c r="M27" s="34"/>
      <c r="N27" s="42"/>
      <c r="O27" s="42"/>
      <c r="P27" s="8"/>
      <c r="Q27" s="8">
        <f t="shared" si="9"/>
        <v>0</v>
      </c>
      <c r="R27" s="8"/>
      <c r="S27" s="8"/>
      <c r="T27" s="8"/>
      <c r="U27" s="8">
        <f t="shared" si="10"/>
        <v>0</v>
      </c>
      <c r="V27" s="8"/>
      <c r="W27" s="8"/>
    </row>
    <row r="28" spans="1:23" s="11" customFormat="1" ht="13.9" hidden="1" x14ac:dyDescent="0.25">
      <c r="A28" s="234">
        <v>5</v>
      </c>
      <c r="B28" s="13"/>
      <c r="C28" s="13"/>
      <c r="D28" s="13"/>
      <c r="E28" s="13"/>
      <c r="F28" s="13"/>
      <c r="G28" s="13"/>
      <c r="H28" s="8"/>
      <c r="I28" s="8">
        <f t="shared" si="8"/>
        <v>0</v>
      </c>
      <c r="J28" s="8"/>
      <c r="K28" s="8"/>
      <c r="L28" s="8"/>
      <c r="M28" s="34"/>
      <c r="N28" s="42"/>
      <c r="O28" s="42"/>
      <c r="P28" s="8"/>
      <c r="Q28" s="8">
        <f t="shared" si="9"/>
        <v>0</v>
      </c>
      <c r="R28" s="8"/>
      <c r="S28" s="8"/>
      <c r="T28" s="8"/>
      <c r="U28" s="8">
        <f t="shared" si="10"/>
        <v>0</v>
      </c>
      <c r="V28" s="8"/>
      <c r="W28" s="8"/>
    </row>
    <row r="29" spans="1:23" s="19" customFormat="1" ht="14.45" hidden="1" x14ac:dyDescent="0.3">
      <c r="A29" s="234">
        <v>6</v>
      </c>
      <c r="B29" s="13"/>
      <c r="C29" s="13"/>
      <c r="D29" s="13"/>
      <c r="E29" s="13"/>
      <c r="F29" s="13"/>
      <c r="G29" s="13"/>
      <c r="H29" s="8"/>
      <c r="I29" s="8">
        <f t="shared" si="8"/>
        <v>0</v>
      </c>
      <c r="J29" s="8"/>
      <c r="K29" s="8"/>
      <c r="L29" s="8"/>
      <c r="M29" s="13"/>
      <c r="N29" s="70"/>
      <c r="O29" s="70"/>
      <c r="P29" s="8"/>
      <c r="Q29" s="8">
        <f t="shared" si="9"/>
        <v>0</v>
      </c>
      <c r="R29" s="8"/>
      <c r="S29" s="8"/>
      <c r="T29" s="8"/>
      <c r="U29" s="8">
        <f t="shared" si="10"/>
        <v>0</v>
      </c>
      <c r="V29" s="8"/>
      <c r="W29" s="8"/>
    </row>
    <row r="30" spans="1:23" s="19" customFormat="1" ht="14.45" hidden="1" x14ac:dyDescent="0.3">
      <c r="A30" s="234">
        <v>7</v>
      </c>
      <c r="B30" s="13"/>
      <c r="C30" s="13"/>
      <c r="D30" s="13"/>
      <c r="E30" s="13"/>
      <c r="F30" s="13"/>
      <c r="G30" s="13"/>
      <c r="H30" s="8"/>
      <c r="I30" s="8">
        <f t="shared" si="8"/>
        <v>0</v>
      </c>
      <c r="J30" s="8"/>
      <c r="K30" s="8"/>
      <c r="L30" s="8"/>
      <c r="M30" s="13"/>
      <c r="N30" s="70"/>
      <c r="O30" s="70"/>
      <c r="P30" s="8"/>
      <c r="Q30" s="8">
        <f t="shared" si="9"/>
        <v>0</v>
      </c>
      <c r="R30" s="8"/>
      <c r="S30" s="8"/>
      <c r="T30" s="8"/>
      <c r="U30" s="8">
        <f t="shared" si="10"/>
        <v>0</v>
      </c>
      <c r="V30" s="8"/>
      <c r="W30" s="8"/>
    </row>
    <row r="31" spans="1:23" s="19" customFormat="1" ht="14.45" hidden="1" x14ac:dyDescent="0.3">
      <c r="A31" s="234">
        <v>8</v>
      </c>
      <c r="B31" s="13"/>
      <c r="C31" s="13"/>
      <c r="D31" s="13"/>
      <c r="E31" s="13"/>
      <c r="F31" s="13"/>
      <c r="G31" s="13"/>
      <c r="H31" s="8"/>
      <c r="I31" s="8">
        <f t="shared" si="8"/>
        <v>0</v>
      </c>
      <c r="J31" s="8"/>
      <c r="K31" s="8"/>
      <c r="L31" s="8"/>
      <c r="M31" s="13"/>
      <c r="N31" s="70"/>
      <c r="O31" s="70"/>
      <c r="P31" s="8"/>
      <c r="Q31" s="8">
        <f t="shared" si="9"/>
        <v>0</v>
      </c>
      <c r="R31" s="8"/>
      <c r="S31" s="8"/>
      <c r="T31" s="8"/>
      <c r="U31" s="8">
        <f t="shared" si="10"/>
        <v>0</v>
      </c>
      <c r="V31" s="8"/>
      <c r="W31" s="8"/>
    </row>
    <row r="32" spans="1:23" s="19" customFormat="1" ht="14.45" hidden="1" x14ac:dyDescent="0.3">
      <c r="A32" s="234">
        <v>9</v>
      </c>
      <c r="B32" s="13"/>
      <c r="C32" s="13"/>
      <c r="D32" s="13"/>
      <c r="E32" s="13"/>
      <c r="F32" s="13"/>
      <c r="G32" s="13"/>
      <c r="H32" s="8"/>
      <c r="I32" s="8">
        <f t="shared" si="8"/>
        <v>0</v>
      </c>
      <c r="J32" s="8"/>
      <c r="K32" s="8"/>
      <c r="L32" s="8"/>
      <c r="M32" s="13"/>
      <c r="N32" s="70"/>
      <c r="O32" s="70"/>
      <c r="P32" s="8"/>
      <c r="Q32" s="8">
        <f t="shared" si="9"/>
        <v>0</v>
      </c>
      <c r="R32" s="8"/>
      <c r="S32" s="8"/>
      <c r="T32" s="8"/>
      <c r="U32" s="8">
        <f t="shared" si="10"/>
        <v>0</v>
      </c>
      <c r="V32" s="8"/>
      <c r="W32" s="8"/>
    </row>
    <row r="33" spans="1:23" s="19" customFormat="1" ht="14.45" hidden="1" x14ac:dyDescent="0.3">
      <c r="A33" s="234">
        <v>10</v>
      </c>
      <c r="B33" s="13"/>
      <c r="C33" s="13"/>
      <c r="D33" s="13"/>
      <c r="E33" s="13"/>
      <c r="F33" s="13"/>
      <c r="G33" s="13"/>
      <c r="H33" s="8"/>
      <c r="I33" s="8">
        <f t="shared" si="8"/>
        <v>0</v>
      </c>
      <c r="J33" s="8"/>
      <c r="K33" s="8"/>
      <c r="L33" s="8"/>
      <c r="M33" s="13"/>
      <c r="N33" s="70"/>
      <c r="O33" s="70"/>
      <c r="P33" s="8"/>
      <c r="Q33" s="8">
        <f t="shared" si="9"/>
        <v>0</v>
      </c>
      <c r="R33" s="8"/>
      <c r="S33" s="8"/>
      <c r="T33" s="8"/>
      <c r="U33" s="8">
        <f t="shared" si="10"/>
        <v>0</v>
      </c>
      <c r="V33" s="8"/>
      <c r="W33" s="8"/>
    </row>
    <row r="34" spans="1:23" s="19" customFormat="1" ht="14.45" hidden="1" x14ac:dyDescent="0.3">
      <c r="A34" s="234">
        <v>11</v>
      </c>
      <c r="B34" s="13"/>
      <c r="C34" s="13"/>
      <c r="D34" s="13"/>
      <c r="E34" s="13"/>
      <c r="F34" s="13"/>
      <c r="G34" s="13"/>
      <c r="H34" s="8"/>
      <c r="I34" s="8">
        <f t="shared" si="8"/>
        <v>0</v>
      </c>
      <c r="J34" s="8"/>
      <c r="K34" s="8"/>
      <c r="L34" s="8"/>
      <c r="M34" s="13"/>
      <c r="N34" s="70"/>
      <c r="O34" s="70"/>
      <c r="P34" s="8"/>
      <c r="Q34" s="8">
        <f t="shared" si="9"/>
        <v>0</v>
      </c>
      <c r="R34" s="8"/>
      <c r="S34" s="8"/>
      <c r="T34" s="8"/>
      <c r="U34" s="8">
        <f t="shared" si="10"/>
        <v>0</v>
      </c>
      <c r="V34" s="8"/>
      <c r="W34" s="8"/>
    </row>
    <row r="35" spans="1:23" s="19" customFormat="1" ht="14.45" hidden="1" x14ac:dyDescent="0.3">
      <c r="A35" s="234">
        <v>12</v>
      </c>
      <c r="B35" s="13"/>
      <c r="C35" s="13"/>
      <c r="D35" s="13"/>
      <c r="E35" s="13"/>
      <c r="F35" s="13"/>
      <c r="G35" s="13"/>
      <c r="H35" s="8"/>
      <c r="I35" s="8">
        <f t="shared" si="8"/>
        <v>0</v>
      </c>
      <c r="J35" s="8"/>
      <c r="K35" s="8"/>
      <c r="L35" s="8"/>
      <c r="M35" s="13"/>
      <c r="N35" s="70"/>
      <c r="O35" s="70"/>
      <c r="P35" s="8"/>
      <c r="Q35" s="8">
        <f t="shared" si="9"/>
        <v>0</v>
      </c>
      <c r="R35" s="8"/>
      <c r="S35" s="8"/>
      <c r="T35" s="8"/>
      <c r="U35" s="8">
        <f t="shared" si="10"/>
        <v>0</v>
      </c>
      <c r="V35" s="8"/>
      <c r="W35" s="8"/>
    </row>
    <row r="36" spans="1:23" s="19" customFormat="1" ht="14.45" hidden="1" x14ac:dyDescent="0.3">
      <c r="A36" s="234">
        <v>13</v>
      </c>
      <c r="B36" s="13"/>
      <c r="C36" s="13"/>
      <c r="D36" s="13"/>
      <c r="E36" s="13"/>
      <c r="F36" s="13"/>
      <c r="G36" s="13"/>
      <c r="H36" s="8"/>
      <c r="I36" s="8">
        <f t="shared" si="8"/>
        <v>0</v>
      </c>
      <c r="J36" s="8"/>
      <c r="K36" s="8"/>
      <c r="L36" s="8"/>
      <c r="M36" s="13"/>
      <c r="N36" s="70"/>
      <c r="O36" s="70"/>
      <c r="P36" s="8"/>
      <c r="Q36" s="8">
        <f t="shared" si="9"/>
        <v>0</v>
      </c>
      <c r="R36" s="8"/>
      <c r="S36" s="8"/>
      <c r="T36" s="8"/>
      <c r="U36" s="8">
        <f t="shared" si="10"/>
        <v>0</v>
      </c>
      <c r="V36" s="8"/>
      <c r="W36" s="8"/>
    </row>
    <row r="37" spans="1:23" s="19" customFormat="1" ht="15.75" hidden="1" customHeight="1" x14ac:dyDescent="0.3">
      <c r="A37" s="234" t="s">
        <v>27</v>
      </c>
      <c r="B37" s="13"/>
      <c r="C37" s="13"/>
      <c r="D37" s="13"/>
      <c r="E37" s="13"/>
      <c r="F37" s="13"/>
      <c r="G37" s="13"/>
      <c r="H37" s="8"/>
      <c r="I37" s="8">
        <f t="shared" si="8"/>
        <v>0</v>
      </c>
      <c r="J37" s="8"/>
      <c r="K37" s="8"/>
      <c r="L37" s="8"/>
      <c r="M37" s="13"/>
      <c r="N37" s="70"/>
      <c r="O37" s="70"/>
      <c r="P37" s="8"/>
      <c r="Q37" s="8">
        <f t="shared" si="9"/>
        <v>0</v>
      </c>
      <c r="R37" s="8"/>
      <c r="S37" s="8"/>
      <c r="T37" s="8"/>
      <c r="U37" s="8">
        <f t="shared" si="10"/>
        <v>0</v>
      </c>
      <c r="V37" s="8"/>
      <c r="W37" s="8"/>
    </row>
    <row r="38" spans="1:23" s="19" customFormat="1" ht="15.75" customHeight="1" x14ac:dyDescent="0.3">
      <c r="A38" s="234"/>
      <c r="B38" s="13"/>
      <c r="C38" s="13"/>
      <c r="D38" s="13"/>
      <c r="E38" s="13"/>
      <c r="F38" s="13"/>
      <c r="G38" s="13"/>
      <c r="H38" s="8"/>
      <c r="I38" s="8"/>
      <c r="J38" s="8"/>
      <c r="K38" s="8"/>
      <c r="L38" s="8"/>
      <c r="M38" s="13"/>
      <c r="N38" s="70"/>
      <c r="O38" s="70"/>
      <c r="P38" s="8"/>
      <c r="Q38" s="8"/>
      <c r="R38" s="8"/>
      <c r="S38" s="8"/>
      <c r="T38" s="8"/>
      <c r="U38" s="8"/>
      <c r="V38" s="8"/>
      <c r="W38" s="8"/>
    </row>
    <row r="39" spans="1:23" s="1" customFormat="1" x14ac:dyDescent="0.25">
      <c r="A39" s="237"/>
      <c r="B39" s="15" t="s">
        <v>14</v>
      </c>
      <c r="C39" s="142">
        <f>C12</f>
        <v>3642253.54</v>
      </c>
      <c r="D39" s="142">
        <f t="shared" ref="D39:F39" si="11">D12</f>
        <v>191697.55</v>
      </c>
      <c r="E39" s="142">
        <f t="shared" si="11"/>
        <v>2460982.13</v>
      </c>
      <c r="F39" s="142">
        <f t="shared" si="11"/>
        <v>129525.37</v>
      </c>
      <c r="G39" s="142">
        <f>G12</f>
        <v>4100000</v>
      </c>
      <c r="H39" s="16">
        <f>SUM(H26:H37)+H19+H12</f>
        <v>3895000</v>
      </c>
      <c r="I39" s="16">
        <f t="shared" ref="I39:W39" si="12">SUM(I12:I22)</f>
        <v>205000</v>
      </c>
      <c r="J39" s="16">
        <f t="shared" si="12"/>
        <v>205000</v>
      </c>
      <c r="K39" s="16">
        <f t="shared" si="12"/>
        <v>0</v>
      </c>
      <c r="L39" s="16">
        <f t="shared" si="12"/>
        <v>0</v>
      </c>
      <c r="M39" s="16"/>
      <c r="N39" s="18">
        <v>0</v>
      </c>
      <c r="O39" s="18">
        <v>0</v>
      </c>
      <c r="P39" s="16">
        <f t="shared" si="12"/>
        <v>3895000</v>
      </c>
      <c r="Q39" s="16">
        <f t="shared" si="12"/>
        <v>205000</v>
      </c>
      <c r="R39" s="16">
        <f t="shared" si="12"/>
        <v>205000</v>
      </c>
      <c r="S39" s="16">
        <f t="shared" si="12"/>
        <v>0</v>
      </c>
      <c r="T39" s="16">
        <f t="shared" si="12"/>
        <v>3895000</v>
      </c>
      <c r="U39" s="16">
        <f t="shared" si="12"/>
        <v>205000</v>
      </c>
      <c r="V39" s="16">
        <f t="shared" si="12"/>
        <v>205000</v>
      </c>
      <c r="W39" s="16">
        <f t="shared" si="12"/>
        <v>0</v>
      </c>
    </row>
  </sheetData>
  <customSheetViews>
    <customSheetView guid="{F55D2626-B25D-4865-88D7-A4040A583D45}" scale="90" showPageBreaks="1" fitToPage="1" hiddenRows="1" topLeftCell="D1">
      <pane ySplit="11" topLeftCell="A12" activePane="bottomLeft" state="frozen"/>
      <selection pane="bottomLeft" activeCell="L39" sqref="L39:M39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90" showPageBreaks="1" fitToPage="1" hiddenRows="1" topLeftCell="E1">
      <pane ySplit="11" topLeftCell="A12" activePane="bottomLeft" state="frozen"/>
      <selection pane="bottomLeft" activeCell="G12" sqref="G12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90" showPageBreaks="1" fitToPage="1" hiddenRows="1">
      <pane ySplit="11" topLeftCell="A12" activePane="bottomLeft" state="frozen"/>
      <selection pane="bottomLeft" activeCell="H40" sqref="H40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"/>
    </customSheetView>
    <customSheetView guid="{8286488C-3E2A-4969-AFC8-11C0D17DBFA2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 hiddenRows="1">
      <pane ySplit="11" topLeftCell="A12" activePane="bottomLeft" state="frozen"/>
      <selection pane="bottomLeft" activeCell="F52" sqref="F5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 hiddenRows="1">
      <pane ySplit="11" topLeftCell="A12" activePane="bottomLeft" state="frozen"/>
      <selection pane="bottomLeft" activeCell="K60" sqref="K6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hiddenRows="1">
      <pane ySplit="11" topLeftCell="A12" activePane="bottomLeft" state="frozen"/>
      <selection pane="bottomLeft" activeCell="N45" sqref="N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 hiddenRows="1">
      <pane ySplit="11" topLeftCell="A12" activePane="bottomLeft" state="frozen"/>
      <selection pane="bottomLeft" activeCell="F52" sqref="F5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 hiddenRows="1">
      <pane xSplit="2" ySplit="11" topLeftCell="C12" activePane="bottomRight" state="frozen"/>
      <selection pane="bottomRight" activeCell="D45" sqref="D45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6"/>
    </customSheetView>
  </customSheetViews>
  <mergeCells count="38">
    <mergeCell ref="C6:F6"/>
    <mergeCell ref="C7:D7"/>
    <mergeCell ref="E7:F7"/>
    <mergeCell ref="C8:C10"/>
    <mergeCell ref="D8:D10"/>
    <mergeCell ref="E8:E10"/>
    <mergeCell ref="F8:F10"/>
    <mergeCell ref="G6:G10"/>
    <mergeCell ref="N6:N10"/>
    <mergeCell ref="O6:O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L8:L10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Q8:Q10"/>
    <mergeCell ref="U8:U10"/>
    <mergeCell ref="M8:M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7"/>
  <sheetViews>
    <sheetView zoomScale="85" zoomScaleNormal="85" workbookViewId="0">
      <pane ySplit="11" topLeftCell="A18" activePane="bottomLeft" state="frozen"/>
      <selection activeCell="H14" sqref="H14"/>
      <selection pane="bottomLeft" activeCell="D14" sqref="D14"/>
    </sheetView>
  </sheetViews>
  <sheetFormatPr defaultColWidth="9.140625" defaultRowHeight="15" x14ac:dyDescent="0.25"/>
  <cols>
    <col min="1" max="1" width="5.7109375" style="231" customWidth="1"/>
    <col min="2" max="2" width="46.5703125" style="2" customWidth="1"/>
    <col min="3" max="3" width="16.28515625" style="2" customWidth="1"/>
    <col min="4" max="4" width="18.7109375" style="2" customWidth="1"/>
    <col min="5" max="5" width="16.28515625" style="2" customWidth="1"/>
    <col min="6" max="7" width="18.28515625" style="2" customWidth="1"/>
    <col min="8" max="8" width="12.85546875" style="2" customWidth="1"/>
    <col min="9" max="9" width="16.28515625" style="2" customWidth="1"/>
    <col min="10" max="10" width="13.140625" style="2" customWidth="1"/>
    <col min="11" max="11" width="16.28515625" style="2" customWidth="1"/>
    <col min="12" max="12" width="17.5703125" style="2" customWidth="1"/>
    <col min="13" max="13" width="56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25">
      <c r="A4" s="291" t="s">
        <v>56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5.7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11.2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16.25" customHeight="1" x14ac:dyDescent="0.25">
      <c r="A10" s="270"/>
      <c r="B10" s="271"/>
      <c r="C10" s="5" t="s">
        <v>435</v>
      </c>
      <c r="D10" s="5" t="s">
        <v>410</v>
      </c>
      <c r="E10" s="5" t="s">
        <v>435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45" x14ac:dyDescent="0.25">
      <c r="A12" s="234">
        <v>1</v>
      </c>
      <c r="B12" s="13" t="s">
        <v>194</v>
      </c>
      <c r="C12" s="139">
        <f>C14+C15+C16+C17</f>
        <v>313600</v>
      </c>
      <c r="D12" s="139">
        <f>113826948.65+16500</f>
        <v>113843448.65000001</v>
      </c>
      <c r="E12" s="139">
        <f>E14+E15+E16+E17</f>
        <v>250226</v>
      </c>
      <c r="F12" s="139">
        <f>88228353.07+15760</f>
        <v>88244113.069999993</v>
      </c>
      <c r="G12" s="139">
        <f>H12+I12</f>
        <v>110005829.24999999</v>
      </c>
      <c r="H12" s="8">
        <f>H14+H15+H16+H17</f>
        <v>431500</v>
      </c>
      <c r="I12" s="8">
        <f>J12+K12</f>
        <v>109574329.24999999</v>
      </c>
      <c r="J12" s="8">
        <f>J14+J15+J16+J17</f>
        <v>22710</v>
      </c>
      <c r="K12" s="8">
        <f>K14+K15+K16+K17</f>
        <v>109551619.24999999</v>
      </c>
      <c r="L12" s="8">
        <f>L14+L15+L16+L17</f>
        <v>21033861.939999998</v>
      </c>
      <c r="M12" s="38"/>
      <c r="N12" s="36"/>
      <c r="O12" s="36"/>
      <c r="P12" s="8">
        <f>P14+P15+P16+P17</f>
        <v>431500</v>
      </c>
      <c r="Q12" s="8">
        <f>R12+S12</f>
        <v>94167600</v>
      </c>
      <c r="R12" s="8">
        <f>R14+R15+R16+R17</f>
        <v>22710</v>
      </c>
      <c r="S12" s="8">
        <f>S14+S15+S16+S17</f>
        <v>94144890</v>
      </c>
      <c r="T12" s="8">
        <f>T14+T15+T16+T17</f>
        <v>447100</v>
      </c>
      <c r="U12" s="8">
        <f>V12+W12</f>
        <v>92493400</v>
      </c>
      <c r="V12" s="8">
        <f>V14+V15+V16+V17</f>
        <v>22710</v>
      </c>
      <c r="W12" s="8">
        <f>W14+W15+W16+W17</f>
        <v>92470690</v>
      </c>
    </row>
    <row r="13" spans="1:23" s="25" customFormat="1" ht="15.75" x14ac:dyDescent="0.25">
      <c r="A13" s="233"/>
      <c r="B13" s="37" t="s">
        <v>1</v>
      </c>
      <c r="C13" s="13"/>
      <c r="D13" s="13"/>
      <c r="E13" s="13"/>
      <c r="F13" s="13"/>
      <c r="G13" s="139">
        <f t="shared" ref="G13:G21" si="0">H13+I13</f>
        <v>0</v>
      </c>
      <c r="H13" s="8"/>
      <c r="I13" s="8">
        <f t="shared" ref="I13:I18" si="1">J13+K13</f>
        <v>0</v>
      </c>
      <c r="J13" s="8"/>
      <c r="K13" s="8"/>
      <c r="L13" s="8"/>
      <c r="M13" s="38"/>
      <c r="N13" s="36"/>
      <c r="O13" s="36"/>
      <c r="P13" s="8"/>
      <c r="Q13" s="8">
        <f t="shared" ref="Q13:Q18" si="2">R13+S13</f>
        <v>0</v>
      </c>
      <c r="R13" s="8"/>
      <c r="S13" s="8"/>
      <c r="T13" s="8"/>
      <c r="U13" s="8">
        <f t="shared" ref="U13:U18" si="3">V13+W13</f>
        <v>0</v>
      </c>
      <c r="V13" s="8"/>
      <c r="W13" s="8"/>
    </row>
    <row r="14" spans="1:23" s="41" customFormat="1" ht="15.75" x14ac:dyDescent="0.25">
      <c r="A14" s="236" t="s">
        <v>4</v>
      </c>
      <c r="B14" s="34" t="s">
        <v>2</v>
      </c>
      <c r="C14" s="8"/>
      <c r="D14" s="8">
        <v>81717786.150000006</v>
      </c>
      <c r="E14" s="8"/>
      <c r="F14" s="8">
        <v>64087671.630000003</v>
      </c>
      <c r="G14" s="139">
        <f t="shared" si="0"/>
        <v>91792105.11999999</v>
      </c>
      <c r="H14" s="8"/>
      <c r="I14" s="8">
        <f t="shared" si="1"/>
        <v>91792105.11999999</v>
      </c>
      <c r="J14" s="8"/>
      <c r="K14" s="8">
        <f>87116019.39+1800846.91+2875238.82</f>
        <v>91792105.11999999</v>
      </c>
      <c r="L14" s="8"/>
      <c r="M14" s="38"/>
      <c r="N14" s="40"/>
      <c r="O14" s="40"/>
      <c r="P14" s="8"/>
      <c r="Q14" s="8">
        <f>R14+S14</f>
        <v>87116019.390000001</v>
      </c>
      <c r="R14" s="8"/>
      <c r="S14" s="8">
        <v>87116019.390000001</v>
      </c>
      <c r="T14" s="8"/>
      <c r="U14" s="8">
        <f>V14+W14</f>
        <v>87116019.390000001</v>
      </c>
      <c r="V14" s="8"/>
      <c r="W14" s="8">
        <v>87116019.390000001</v>
      </c>
    </row>
    <row r="15" spans="1:23" s="41" customFormat="1" ht="30" x14ac:dyDescent="0.25">
      <c r="A15" s="236" t="s">
        <v>5</v>
      </c>
      <c r="B15" s="39" t="s">
        <v>10</v>
      </c>
      <c r="C15" s="8"/>
      <c r="D15" s="8">
        <v>14822559.83</v>
      </c>
      <c r="E15" s="8"/>
      <c r="F15" s="8">
        <v>12134449.970000001</v>
      </c>
      <c r="G15" s="139">
        <f t="shared" si="0"/>
        <v>17759514.129999999</v>
      </c>
      <c r="H15" s="8"/>
      <c r="I15" s="8">
        <f t="shared" si="1"/>
        <v>17759514.129999999</v>
      </c>
      <c r="J15" s="8"/>
      <c r="K15" s="8">
        <f>4166388.56+1620282.05+11972843.52</f>
        <v>17759514.129999999</v>
      </c>
      <c r="L15" s="8">
        <f>14072843.52-2100000-11972843.52</f>
        <v>0</v>
      </c>
      <c r="M15" s="34" t="s">
        <v>183</v>
      </c>
      <c r="N15" s="42"/>
      <c r="O15" s="42"/>
      <c r="P15" s="8"/>
      <c r="Q15" s="8">
        <f>R15+S15</f>
        <v>7028870.6099999994</v>
      </c>
      <c r="R15" s="8"/>
      <c r="S15" s="8">
        <f>5408588.56+1620282.05</f>
        <v>7028870.6099999994</v>
      </c>
      <c r="T15" s="8"/>
      <c r="U15" s="8">
        <f>V15+W15</f>
        <v>5354670.6100000003</v>
      </c>
      <c r="V15" s="8"/>
      <c r="W15" s="8">
        <f>3734388.56+1620282.05</f>
        <v>5354670.6100000003</v>
      </c>
    </row>
    <row r="16" spans="1:23" s="41" customFormat="1" ht="30" x14ac:dyDescent="0.25">
      <c r="A16" s="236" t="s">
        <v>6</v>
      </c>
      <c r="B16" s="39" t="s">
        <v>11</v>
      </c>
      <c r="C16" s="8"/>
      <c r="D16" s="8">
        <v>8455469.5800000001</v>
      </c>
      <c r="E16" s="8"/>
      <c r="F16" s="8">
        <v>6432266.3899999997</v>
      </c>
      <c r="G16" s="139">
        <f t="shared" si="0"/>
        <v>0</v>
      </c>
      <c r="H16" s="8"/>
      <c r="I16" s="8">
        <f t="shared" si="1"/>
        <v>0</v>
      </c>
      <c r="J16" s="8"/>
      <c r="K16" s="8"/>
      <c r="L16" s="8">
        <v>9197584.0999999996</v>
      </c>
      <c r="M16" s="34" t="s">
        <v>184</v>
      </c>
      <c r="N16" s="42"/>
      <c r="O16" s="42"/>
      <c r="P16" s="8"/>
      <c r="Q16" s="8">
        <f t="shared" si="2"/>
        <v>0</v>
      </c>
      <c r="R16" s="8"/>
      <c r="S16" s="8"/>
      <c r="T16" s="8"/>
      <c r="U16" s="8">
        <f t="shared" si="3"/>
        <v>0</v>
      </c>
      <c r="V16" s="8"/>
      <c r="W16" s="8"/>
    </row>
    <row r="17" spans="1:23" s="41" customFormat="1" ht="155.25" customHeight="1" x14ac:dyDescent="0.25">
      <c r="A17" s="236" t="s">
        <v>7</v>
      </c>
      <c r="B17" s="39" t="s">
        <v>13</v>
      </c>
      <c r="C17" s="8">
        <v>313600</v>
      </c>
      <c r="D17" s="8">
        <f>D12-D14-D15-D16</f>
        <v>8847633.0900000017</v>
      </c>
      <c r="E17" s="8">
        <v>250226</v>
      </c>
      <c r="F17" s="8">
        <f>F12-F14-F15-F16</f>
        <v>5589725.0799999898</v>
      </c>
      <c r="G17" s="139">
        <f t="shared" si="0"/>
        <v>454210</v>
      </c>
      <c r="H17" s="61">
        <v>431500</v>
      </c>
      <c r="I17" s="61">
        <f t="shared" si="1"/>
        <v>22710</v>
      </c>
      <c r="J17" s="61">
        <v>22710</v>
      </c>
      <c r="K17" s="61"/>
      <c r="L17" s="61">
        <f>3213406.84+3569371+5053500</f>
        <v>11836277.84</v>
      </c>
      <c r="M17" s="39" t="s">
        <v>195</v>
      </c>
      <c r="N17" s="42"/>
      <c r="O17" s="42"/>
      <c r="P17" s="61">
        <v>431500</v>
      </c>
      <c r="Q17" s="8">
        <f t="shared" si="2"/>
        <v>22710</v>
      </c>
      <c r="R17" s="61">
        <v>22710</v>
      </c>
      <c r="S17" s="61"/>
      <c r="T17" s="61">
        <v>447100</v>
      </c>
      <c r="U17" s="8">
        <f t="shared" si="3"/>
        <v>22710</v>
      </c>
      <c r="V17" s="61">
        <v>22710</v>
      </c>
      <c r="W17" s="61"/>
    </row>
    <row r="18" spans="1:23" s="11" customFormat="1" ht="80.45" customHeight="1" x14ac:dyDescent="0.25">
      <c r="A18" s="234">
        <v>3</v>
      </c>
      <c r="B18" s="13" t="s">
        <v>192</v>
      </c>
      <c r="C18" s="45"/>
      <c r="D18" s="45">
        <v>0</v>
      </c>
      <c r="E18" s="45"/>
      <c r="F18" s="45">
        <v>0</v>
      </c>
      <c r="G18" s="139">
        <f t="shared" si="0"/>
        <v>0</v>
      </c>
      <c r="H18" s="8"/>
      <c r="I18" s="8">
        <f t="shared" si="1"/>
        <v>0</v>
      </c>
      <c r="J18" s="8"/>
      <c r="K18" s="8"/>
      <c r="L18" s="8">
        <v>1166757</v>
      </c>
      <c r="M18" s="39" t="s">
        <v>196</v>
      </c>
      <c r="N18" s="18"/>
      <c r="O18" s="18"/>
      <c r="P18" s="8"/>
      <c r="Q18" s="8">
        <f t="shared" si="2"/>
        <v>0</v>
      </c>
      <c r="R18" s="8"/>
      <c r="S18" s="8"/>
      <c r="T18" s="8"/>
      <c r="U18" s="8">
        <f t="shared" si="3"/>
        <v>0</v>
      </c>
      <c r="V18" s="8"/>
      <c r="W18" s="8"/>
    </row>
    <row r="19" spans="1:23" s="11" customFormat="1" ht="104.25" customHeight="1" x14ac:dyDescent="0.25">
      <c r="A19" s="234"/>
      <c r="B19" s="13" t="s">
        <v>434</v>
      </c>
      <c r="C19" s="45"/>
      <c r="D19" s="45">
        <v>36400</v>
      </c>
      <c r="E19" s="45"/>
      <c r="F19" s="45">
        <v>36400</v>
      </c>
      <c r="G19" s="139"/>
      <c r="H19" s="8"/>
      <c r="I19" s="8"/>
      <c r="J19" s="8"/>
      <c r="K19" s="8"/>
      <c r="L19" s="8"/>
      <c r="M19" s="39"/>
      <c r="N19" s="59"/>
      <c r="O19" s="59"/>
      <c r="P19" s="8"/>
      <c r="Q19" s="8"/>
      <c r="R19" s="8"/>
      <c r="S19" s="8"/>
      <c r="T19" s="8"/>
      <c r="U19" s="8"/>
      <c r="V19" s="8"/>
      <c r="W19" s="8"/>
    </row>
    <row r="20" spans="1:23" s="11" customFormat="1" ht="61.5" customHeight="1" x14ac:dyDescent="0.25">
      <c r="A20" s="234"/>
      <c r="B20" s="13" t="s">
        <v>433</v>
      </c>
      <c r="C20" s="45">
        <v>135799333.13</v>
      </c>
      <c r="D20" s="45"/>
      <c r="E20" s="45">
        <v>24740862.370000001</v>
      </c>
      <c r="F20" s="45"/>
      <c r="G20" s="139"/>
      <c r="H20" s="8"/>
      <c r="I20" s="8"/>
      <c r="J20" s="8"/>
      <c r="K20" s="8"/>
      <c r="L20" s="8"/>
      <c r="M20" s="39"/>
      <c r="N20" s="59"/>
      <c r="O20" s="59"/>
      <c r="P20" s="8"/>
      <c r="Q20" s="8"/>
      <c r="R20" s="8"/>
      <c r="S20" s="8"/>
      <c r="T20" s="8"/>
      <c r="U20" s="8"/>
      <c r="V20" s="8"/>
      <c r="W20" s="8"/>
    </row>
    <row r="21" spans="1:23" s="35" customFormat="1" ht="15.75" x14ac:dyDescent="0.25">
      <c r="A21" s="237"/>
      <c r="B21" s="15" t="s">
        <v>14</v>
      </c>
      <c r="C21" s="17">
        <f>C20+C19+C18+C12</f>
        <v>136112933.13</v>
      </c>
      <c r="D21" s="17">
        <f>D20+D19+D18+D12</f>
        <v>113879848.65000001</v>
      </c>
      <c r="E21" s="17">
        <f>E20+E19+E18+E12</f>
        <v>24991088.370000001</v>
      </c>
      <c r="F21" s="17">
        <f>F20+F19+F18+F12</f>
        <v>88280513.069999993</v>
      </c>
      <c r="G21" s="139">
        <f t="shared" si="0"/>
        <v>110005829.24999999</v>
      </c>
      <c r="H21" s="16">
        <f>H12</f>
        <v>431500</v>
      </c>
      <c r="I21" s="16">
        <f>I12</f>
        <v>109574329.24999999</v>
      </c>
      <c r="J21" s="16">
        <f>J12</f>
        <v>22710</v>
      </c>
      <c r="K21" s="16">
        <f>K12</f>
        <v>109551619.24999999</v>
      </c>
      <c r="L21" s="16">
        <f>L12</f>
        <v>21033861.939999998</v>
      </c>
      <c r="M21" s="16"/>
      <c r="N21" s="18">
        <v>8000000</v>
      </c>
      <c r="O21" s="18">
        <v>300000</v>
      </c>
      <c r="P21" s="16">
        <f t="shared" ref="P21:W21" si="4">P12</f>
        <v>431500</v>
      </c>
      <c r="Q21" s="16">
        <f t="shared" si="4"/>
        <v>94167600</v>
      </c>
      <c r="R21" s="16">
        <f t="shared" si="4"/>
        <v>22710</v>
      </c>
      <c r="S21" s="16">
        <f t="shared" si="4"/>
        <v>94144890</v>
      </c>
      <c r="T21" s="16">
        <f t="shared" si="4"/>
        <v>447100</v>
      </c>
      <c r="U21" s="16">
        <f t="shared" si="4"/>
        <v>92493400</v>
      </c>
      <c r="V21" s="16">
        <f t="shared" si="4"/>
        <v>22710</v>
      </c>
      <c r="W21" s="16">
        <f t="shared" si="4"/>
        <v>92470690</v>
      </c>
    </row>
    <row r="22" spans="1:23" ht="14.45" x14ac:dyDescent="0.3">
      <c r="C22" s="140"/>
      <c r="D22" s="140"/>
      <c r="E22" s="140"/>
      <c r="F22" s="140"/>
      <c r="G22" s="140"/>
    </row>
    <row r="23" spans="1:23" ht="14.45" x14ac:dyDescent="0.3">
      <c r="C23" s="140"/>
      <c r="D23" s="140"/>
      <c r="E23" s="140"/>
      <c r="F23" s="140"/>
      <c r="G23" s="140"/>
    </row>
    <row r="24" spans="1:23" ht="14.45" x14ac:dyDescent="0.3">
      <c r="C24" s="140"/>
      <c r="D24" s="140"/>
      <c r="E24" s="140"/>
      <c r="F24" s="140"/>
      <c r="G24" s="140"/>
    </row>
    <row r="25" spans="1:23" ht="14.45" x14ac:dyDescent="0.3">
      <c r="C25" s="140"/>
      <c r="D25" s="140"/>
      <c r="E25" s="140"/>
      <c r="F25" s="140"/>
      <c r="G25" s="140"/>
    </row>
    <row r="26" spans="1:23" ht="14.45" x14ac:dyDescent="0.3">
      <c r="C26" s="140"/>
      <c r="D26" s="140"/>
      <c r="E26" s="140"/>
      <c r="F26" s="140"/>
      <c r="G26" s="140"/>
    </row>
    <row r="27" spans="1:23" ht="14.45" x14ac:dyDescent="0.3">
      <c r="C27" s="141"/>
      <c r="D27" s="141"/>
      <c r="E27" s="141"/>
      <c r="F27" s="141"/>
      <c r="G27" s="141"/>
    </row>
  </sheetData>
  <customSheetViews>
    <customSheetView guid="{F55D2626-B25D-4865-88D7-A4040A583D45}" scale="90" showPageBreaks="1" fitToPage="1" topLeftCell="E1">
      <pane ySplit="11" topLeftCell="A18" activePane="bottomLeft" state="frozen"/>
      <selection pane="bottomLeft" activeCell="N21" sqref="N21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"/>
    </customSheetView>
    <customSheetView guid="{9D6C8421-31F4-449D-B427-1D13044E970D}" scale="90" showPageBreaks="1" fitToPage="1" topLeftCell="H1">
      <pane ySplit="11" topLeftCell="A21" activePane="bottomLeft" state="frozen"/>
      <selection pane="bottomLeft" activeCell="N21" sqref="N21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2"/>
    </customSheetView>
    <customSheetView guid="{CCAC52F4-1AE6-4B0C-B39F-86F6AB8E32E1}" scale="90" showPageBreaks="1" fitToPage="1">
      <pane ySplit="11" topLeftCell="A13" activePane="bottomLeft" state="frozen"/>
      <selection pane="bottomLeft" activeCell="A19" sqref="A19:XFD19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3"/>
    </customSheetView>
    <customSheetView guid="{8286488C-3E2A-4969-AFC8-11C0D17DBFA2}" scale="90" showPageBreaks="1" fitToPage="1" topLeftCell="H1">
      <pane ySplit="11" topLeftCell="A15" activePane="bottomLeft" state="frozen"/>
      <selection pane="bottomLeft" activeCell="M20" activeCellId="2" sqref="C20 I20 M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14" sqref="F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5" activePane="bottomLeft" state="frozen"/>
      <selection pane="bottomLeft" activeCell="M20" activeCellId="2" sqref="C20 I20 M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5" activePane="bottomLeft" state="frozen"/>
      <selection pane="bottomLeft" activeCell="M20" activeCellId="2" sqref="C20 I20 M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5" activePane="bottomLeft" state="frozen"/>
      <selection pane="bottomLeft" activeCell="M20" activeCellId="2" sqref="C20 I20 M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C21" sqref="C21:C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D14" sqref="D14:P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8" activePane="bottomLeft" state="frozen"/>
      <selection pane="bottomLeft" activeCell="E16" sqref="E16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0" fitToHeight="2" orientation="landscape" verticalDpi="18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8"/>
  <sheetViews>
    <sheetView zoomScale="90" zoomScaleNormal="90" workbookViewId="0">
      <pane ySplit="11" topLeftCell="A12" activePane="bottomLeft" state="frozen"/>
      <selection activeCell="H14" sqref="H14"/>
      <selection pane="bottomLeft" activeCell="A4" sqref="A4:XFD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4" width="13.7109375" style="2" customWidth="1"/>
    <col min="5" max="5" width="13.140625" style="2" customWidth="1"/>
    <col min="6" max="6" width="12.28515625" style="2" customWidth="1"/>
    <col min="7" max="7" width="13" style="2" customWidth="1"/>
    <col min="8" max="8" width="13.7109375" style="2" customWidth="1"/>
    <col min="9" max="9" width="14.7109375" style="2" customWidth="1"/>
    <col min="10" max="10" width="12.5703125" style="2" customWidth="1"/>
    <col min="11" max="11" width="15.7109375" style="2" customWidth="1"/>
    <col min="12" max="12" width="17.5703125" style="2" customWidth="1"/>
    <col min="13" max="13" width="56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30.75" customHeight="1" x14ac:dyDescent="0.25">
      <c r="A4" s="291" t="s">
        <v>436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1.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02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8">
        <v>3</v>
      </c>
      <c r="D11" s="233">
        <v>4</v>
      </c>
      <c r="E11" s="238">
        <v>5</v>
      </c>
      <c r="F11" s="238">
        <v>6</v>
      </c>
      <c r="G11" s="233">
        <v>7</v>
      </c>
      <c r="H11" s="238">
        <v>8</v>
      </c>
      <c r="I11" s="238">
        <v>9</v>
      </c>
      <c r="J11" s="233">
        <v>10</v>
      </c>
      <c r="K11" s="238">
        <v>11</v>
      </c>
      <c r="L11" s="238">
        <v>12</v>
      </c>
      <c r="M11" s="233">
        <v>13</v>
      </c>
      <c r="N11" s="239"/>
      <c r="O11" s="239"/>
      <c r="P11" s="238">
        <v>14</v>
      </c>
      <c r="Q11" s="238">
        <v>15</v>
      </c>
      <c r="R11" s="233">
        <v>16</v>
      </c>
      <c r="S11" s="238">
        <v>17</v>
      </c>
      <c r="T11" s="238">
        <v>18</v>
      </c>
      <c r="U11" s="233">
        <v>19</v>
      </c>
      <c r="V11" s="238">
        <v>20</v>
      </c>
      <c r="W11" s="238">
        <v>21</v>
      </c>
    </row>
    <row r="12" spans="1:23" s="25" customFormat="1" x14ac:dyDescent="0.25">
      <c r="A12" s="234">
        <v>1</v>
      </c>
      <c r="B12" s="13" t="s">
        <v>87</v>
      </c>
      <c r="C12" s="13">
        <v>0</v>
      </c>
      <c r="D12" s="13">
        <v>0</v>
      </c>
      <c r="E12" s="13">
        <v>0</v>
      </c>
      <c r="F12" s="13">
        <v>0</v>
      </c>
      <c r="G12" s="13">
        <f>H12+I12</f>
        <v>4479125</v>
      </c>
      <c r="H12" s="8">
        <v>0</v>
      </c>
      <c r="I12" s="8">
        <f>J12+K12</f>
        <v>4479125</v>
      </c>
      <c r="J12" s="8">
        <v>0</v>
      </c>
      <c r="K12" s="8">
        <v>4479125</v>
      </c>
      <c r="L12" s="8">
        <v>0</v>
      </c>
      <c r="M12" s="38"/>
      <c r="N12" s="36"/>
      <c r="O12" s="36"/>
      <c r="P12" s="8">
        <v>0</v>
      </c>
      <c r="Q12" s="8">
        <f>R12+S12</f>
        <v>0</v>
      </c>
      <c r="R12" s="8">
        <v>0</v>
      </c>
      <c r="S12" s="8">
        <v>0</v>
      </c>
      <c r="T12" s="8">
        <v>0</v>
      </c>
      <c r="U12" s="8">
        <f>V12+W12</f>
        <v>0</v>
      </c>
      <c r="V12" s="8">
        <v>0</v>
      </c>
      <c r="W12" s="8">
        <v>0</v>
      </c>
    </row>
    <row r="13" spans="1:23" s="41" customFormat="1" ht="45" x14ac:dyDescent="0.25">
      <c r="A13" s="234">
        <v>2</v>
      </c>
      <c r="B13" s="13" t="s">
        <v>88</v>
      </c>
      <c r="C13" s="13">
        <v>0</v>
      </c>
      <c r="D13" s="13">
        <v>300000</v>
      </c>
      <c r="E13" s="13">
        <v>0</v>
      </c>
      <c r="F13" s="13">
        <v>145000</v>
      </c>
      <c r="G13" s="13">
        <f t="shared" ref="G13:G18" si="0">H13+I13</f>
        <v>162000</v>
      </c>
      <c r="H13" s="8">
        <v>0</v>
      </c>
      <c r="I13" s="8">
        <f t="shared" ref="I13:I16" si="1">J13+K13</f>
        <v>162000</v>
      </c>
      <c r="J13" s="8">
        <v>0</v>
      </c>
      <c r="K13" s="8">
        <v>162000</v>
      </c>
      <c r="L13" s="8">
        <v>93000</v>
      </c>
      <c r="M13" s="38" t="s">
        <v>385</v>
      </c>
      <c r="N13" s="9"/>
      <c r="O13" s="9"/>
      <c r="P13" s="8">
        <v>0</v>
      </c>
      <c r="Q13" s="8">
        <f t="shared" ref="Q13:Q15" si="2">R13+S13</f>
        <v>164200</v>
      </c>
      <c r="R13" s="8">
        <v>0</v>
      </c>
      <c r="S13" s="8">
        <v>164200</v>
      </c>
      <c r="T13" s="8">
        <v>0</v>
      </c>
      <c r="U13" s="8">
        <f t="shared" ref="U13:U15" si="3">V13+W13</f>
        <v>161300</v>
      </c>
      <c r="V13" s="8">
        <v>0</v>
      </c>
      <c r="W13" s="8">
        <v>161300</v>
      </c>
    </row>
    <row r="14" spans="1:23" s="11" customFormat="1" ht="75" x14ac:dyDescent="0.25">
      <c r="A14" s="234">
        <v>3</v>
      </c>
      <c r="B14" s="13" t="s">
        <v>89</v>
      </c>
      <c r="C14" s="13">
        <v>0</v>
      </c>
      <c r="D14" s="13">
        <v>960336</v>
      </c>
      <c r="E14" s="13">
        <v>0</v>
      </c>
      <c r="F14" s="13">
        <v>763020</v>
      </c>
      <c r="G14" s="13">
        <f t="shared" si="0"/>
        <v>777900</v>
      </c>
      <c r="H14" s="8">
        <v>0</v>
      </c>
      <c r="I14" s="8">
        <f t="shared" si="1"/>
        <v>777900</v>
      </c>
      <c r="J14" s="8">
        <v>0</v>
      </c>
      <c r="K14" s="8">
        <v>777900</v>
      </c>
      <c r="L14" s="8">
        <v>214512</v>
      </c>
      <c r="M14" s="136" t="s">
        <v>386</v>
      </c>
      <c r="N14" s="9"/>
      <c r="O14" s="9"/>
      <c r="P14" s="8">
        <v>0</v>
      </c>
      <c r="Q14" s="8">
        <f t="shared" si="2"/>
        <v>788300</v>
      </c>
      <c r="R14" s="8">
        <v>0</v>
      </c>
      <c r="S14" s="8">
        <v>788300</v>
      </c>
      <c r="T14" s="8">
        <v>0</v>
      </c>
      <c r="U14" s="8">
        <f t="shared" si="3"/>
        <v>774300</v>
      </c>
      <c r="V14" s="8">
        <v>0</v>
      </c>
      <c r="W14" s="8">
        <v>774300</v>
      </c>
    </row>
    <row r="15" spans="1:23" s="11" customFormat="1" ht="30" x14ac:dyDescent="0.25">
      <c r="A15" s="234">
        <v>4</v>
      </c>
      <c r="B15" s="13" t="s">
        <v>90</v>
      </c>
      <c r="C15" s="13">
        <v>0</v>
      </c>
      <c r="D15" s="13">
        <v>0</v>
      </c>
      <c r="E15" s="13">
        <v>0</v>
      </c>
      <c r="F15" s="13">
        <v>0</v>
      </c>
      <c r="G15" s="13">
        <f t="shared" si="0"/>
        <v>0</v>
      </c>
      <c r="H15" s="8">
        <v>0</v>
      </c>
      <c r="I15" s="8">
        <f t="shared" si="1"/>
        <v>0</v>
      </c>
      <c r="J15" s="8">
        <v>0</v>
      </c>
      <c r="K15" s="8">
        <v>0</v>
      </c>
      <c r="L15" s="8">
        <v>0</v>
      </c>
      <c r="M15" s="34"/>
      <c r="N15" s="42"/>
      <c r="O15" s="42"/>
      <c r="P15" s="8">
        <v>0</v>
      </c>
      <c r="Q15" s="8">
        <f t="shared" si="2"/>
        <v>17102900</v>
      </c>
      <c r="R15" s="8">
        <v>0</v>
      </c>
      <c r="S15" s="8">
        <v>17102900</v>
      </c>
      <c r="T15" s="8">
        <v>0</v>
      </c>
      <c r="U15" s="8">
        <f t="shared" si="3"/>
        <v>34480900</v>
      </c>
      <c r="V15" s="8">
        <v>0</v>
      </c>
      <c r="W15" s="8">
        <v>34480900</v>
      </c>
    </row>
    <row r="16" spans="1:23" s="11" customFormat="1" x14ac:dyDescent="0.25">
      <c r="A16" s="234">
        <v>5</v>
      </c>
      <c r="B16" s="13" t="s">
        <v>404</v>
      </c>
      <c r="C16" s="13">
        <v>0</v>
      </c>
      <c r="D16" s="13">
        <v>0</v>
      </c>
      <c r="E16" s="13">
        <v>0</v>
      </c>
      <c r="F16" s="13">
        <v>0</v>
      </c>
      <c r="G16" s="13">
        <f t="shared" si="0"/>
        <v>500000</v>
      </c>
      <c r="H16" s="8">
        <v>0</v>
      </c>
      <c r="I16" s="8">
        <f t="shared" si="1"/>
        <v>500000</v>
      </c>
      <c r="J16" s="8">
        <v>0</v>
      </c>
      <c r="K16" s="8">
        <v>500000</v>
      </c>
      <c r="L16" s="8"/>
      <c r="M16" s="34"/>
      <c r="N16" s="42"/>
      <c r="O16" s="42"/>
      <c r="P16" s="8">
        <v>0</v>
      </c>
      <c r="Q16" s="8">
        <f>R16+S16</f>
        <v>0</v>
      </c>
      <c r="R16" s="8">
        <v>0</v>
      </c>
      <c r="S16" s="8">
        <v>0</v>
      </c>
      <c r="T16" s="8">
        <v>0</v>
      </c>
      <c r="U16" s="8">
        <f>V16+W16</f>
        <v>0</v>
      </c>
      <c r="V16" s="8">
        <v>0</v>
      </c>
      <c r="W16" s="8">
        <v>0</v>
      </c>
    </row>
    <row r="17" spans="1:23" s="11" customFormat="1" x14ac:dyDescent="0.25">
      <c r="A17" s="234">
        <v>6</v>
      </c>
      <c r="B17" s="13" t="s">
        <v>356</v>
      </c>
      <c r="C17" s="13">
        <v>1340752</v>
      </c>
      <c r="D17" s="13">
        <v>0</v>
      </c>
      <c r="E17" s="13">
        <v>1080284.53</v>
      </c>
      <c r="F17" s="13">
        <v>0</v>
      </c>
      <c r="G17" s="13">
        <f t="shared" si="0"/>
        <v>1959500</v>
      </c>
      <c r="H17" s="8">
        <v>1959500</v>
      </c>
      <c r="I17" s="8">
        <f>J17+K17</f>
        <v>0</v>
      </c>
      <c r="J17" s="8">
        <v>0</v>
      </c>
      <c r="K17" s="8">
        <v>0</v>
      </c>
      <c r="L17" s="8"/>
      <c r="M17" s="34"/>
      <c r="N17" s="42"/>
      <c r="O17" s="42"/>
      <c r="P17" s="8">
        <v>1969300</v>
      </c>
      <c r="Q17" s="8">
        <f>R17+S17</f>
        <v>0</v>
      </c>
      <c r="R17" s="8">
        <v>0</v>
      </c>
      <c r="S17" s="8">
        <v>0</v>
      </c>
      <c r="T17" s="8">
        <v>1982700</v>
      </c>
      <c r="U17" s="8">
        <f>V17+W17</f>
        <v>0</v>
      </c>
      <c r="V17" s="8">
        <v>0</v>
      </c>
      <c r="W17" s="8">
        <v>0</v>
      </c>
    </row>
    <row r="18" spans="1:23" s="57" customFormat="1" x14ac:dyDescent="0.25">
      <c r="A18" s="263"/>
      <c r="B18" s="15" t="s">
        <v>14</v>
      </c>
      <c r="C18" s="15">
        <f>SUM(C12:C17)</f>
        <v>1340752</v>
      </c>
      <c r="D18" s="15">
        <f>SUM(D12:D17)</f>
        <v>1260336</v>
      </c>
      <c r="E18" s="15">
        <f t="shared" ref="E18:F18" si="4">SUM(E12:E17)</f>
        <v>1080284.53</v>
      </c>
      <c r="F18" s="15">
        <f t="shared" si="4"/>
        <v>908020</v>
      </c>
      <c r="G18" s="44">
        <f t="shared" si="0"/>
        <v>7878525</v>
      </c>
      <c r="H18" s="16">
        <f>SUM(H12:H17)</f>
        <v>1959500</v>
      </c>
      <c r="I18" s="16">
        <f>SUM(I12:I17)</f>
        <v>5919025</v>
      </c>
      <c r="J18" s="16">
        <f>SUM(J12:J17)</f>
        <v>0</v>
      </c>
      <c r="K18" s="16">
        <f>SUM(K12:K17)</f>
        <v>5919025</v>
      </c>
      <c r="L18" s="16">
        <f>SUM(L12:L17)</f>
        <v>307512</v>
      </c>
      <c r="M18" s="16">
        <f t="shared" ref="M18:O18" si="5">SUM(M12:M17)</f>
        <v>0</v>
      </c>
      <c r="N18" s="18">
        <f t="shared" si="5"/>
        <v>0</v>
      </c>
      <c r="O18" s="18">
        <f t="shared" si="5"/>
        <v>0</v>
      </c>
      <c r="P18" s="16">
        <f t="shared" ref="P18:W18" si="6">SUM(P12:P17)</f>
        <v>1969300</v>
      </c>
      <c r="Q18" s="16">
        <f t="shared" si="6"/>
        <v>18055400</v>
      </c>
      <c r="R18" s="16">
        <f t="shared" si="6"/>
        <v>0</v>
      </c>
      <c r="S18" s="16">
        <f t="shared" si="6"/>
        <v>18055400</v>
      </c>
      <c r="T18" s="16">
        <f t="shared" si="6"/>
        <v>1982700</v>
      </c>
      <c r="U18" s="16">
        <f t="shared" si="6"/>
        <v>35416500</v>
      </c>
      <c r="V18" s="16">
        <f t="shared" si="6"/>
        <v>0</v>
      </c>
      <c r="W18" s="16">
        <f t="shared" si="6"/>
        <v>35416500</v>
      </c>
    </row>
  </sheetData>
  <customSheetViews>
    <customSheetView guid="{F55D2626-B25D-4865-88D7-A4040A583D45}" scale="90" showPageBreaks="1" fitToPage="1" topLeftCell="E1">
      <pane ySplit="11" topLeftCell="A12" activePane="bottomLeft" state="frozen"/>
      <selection pane="bottomLeft" activeCell="M8" sqref="M8:M10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90" showPageBreaks="1" fitToPage="1" topLeftCell="F1">
      <pane ySplit="11" topLeftCell="A12" activePane="bottomLeft" state="frozen"/>
      <selection pane="bottomLeft" activeCell="N13" sqref="N13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I17" sqref="I17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3"/>
    </customSheetView>
    <customSheetView guid="{8286488C-3E2A-4969-AFC8-11C0D17DBFA2}" scale="90" showPageBreaks="1" fitToPage="1" topLeftCell="B1">
      <pane ySplit="11" topLeftCell="A12" activePane="bottomLeft" state="frozen"/>
      <selection pane="bottomLeft" activeCell="B13" sqref="B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B16" sqref="B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B16" sqref="B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B16" sqref="B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G16" sqref="G16: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J23" sqref="J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C1" sqref="C1:G1048576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6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7.42578125" style="2" customWidth="1"/>
    <col min="4" max="4" width="15.42578125" style="2" customWidth="1"/>
    <col min="5" max="5" width="17.42578125" style="2" customWidth="1"/>
    <col min="6" max="6" width="15.42578125" style="2" customWidth="1"/>
    <col min="7" max="8" width="17.42578125" style="2" customWidth="1"/>
    <col min="9" max="11" width="15.42578125" style="2" customWidth="1"/>
    <col min="12" max="12" width="17.5703125" style="2" customWidth="1"/>
    <col min="13" max="13" width="25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25">
      <c r="A4" s="291" t="s">
        <v>57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1.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82" t="s">
        <v>23</v>
      </c>
      <c r="J7" s="295"/>
      <c r="K7" s="29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1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90" x14ac:dyDescent="0.25">
      <c r="A12" s="234">
        <v>1</v>
      </c>
      <c r="B12" s="136" t="s">
        <v>305</v>
      </c>
      <c r="C12" s="5">
        <v>10021900</v>
      </c>
      <c r="D12" s="5">
        <v>0</v>
      </c>
      <c r="E12" s="5">
        <v>6485130.5099999998</v>
      </c>
      <c r="F12" s="5">
        <v>0</v>
      </c>
      <c r="G12" s="6">
        <f>H12+I12</f>
        <v>13142300</v>
      </c>
      <c r="H12" s="6">
        <v>13142300</v>
      </c>
      <c r="I12" s="6">
        <f>J12+K12</f>
        <v>0</v>
      </c>
      <c r="J12" s="6">
        <v>0</v>
      </c>
      <c r="K12" s="6">
        <v>0</v>
      </c>
      <c r="L12" s="6">
        <v>0</v>
      </c>
      <c r="M12" s="15"/>
      <c r="N12" s="36"/>
      <c r="O12" s="36"/>
      <c r="P12" s="6">
        <v>13846500</v>
      </c>
      <c r="Q12" s="6">
        <f>R12+S12</f>
        <v>0</v>
      </c>
      <c r="R12" s="6">
        <v>0</v>
      </c>
      <c r="S12" s="6">
        <v>0</v>
      </c>
      <c r="T12" s="6">
        <v>13846500</v>
      </c>
      <c r="U12" s="6">
        <f>V12+W12</f>
        <v>0</v>
      </c>
      <c r="V12" s="6">
        <v>0</v>
      </c>
      <c r="W12" s="6">
        <v>0</v>
      </c>
    </row>
    <row r="13" spans="1:23" s="41" customFormat="1" ht="75" x14ac:dyDescent="0.25">
      <c r="A13" s="234">
        <v>2</v>
      </c>
      <c r="B13" s="13" t="s">
        <v>306</v>
      </c>
      <c r="C13" s="5">
        <v>4790412</v>
      </c>
      <c r="D13" s="5">
        <v>0</v>
      </c>
      <c r="E13" s="5">
        <v>3193608</v>
      </c>
      <c r="F13" s="5">
        <v>0</v>
      </c>
      <c r="G13" s="6">
        <f t="shared" ref="G13:G16" si="0">H13+I13</f>
        <v>8056300</v>
      </c>
      <c r="H13" s="6">
        <v>8056300</v>
      </c>
      <c r="I13" s="6">
        <f>J13+K13</f>
        <v>0</v>
      </c>
      <c r="J13" s="6">
        <v>0</v>
      </c>
      <c r="K13" s="6">
        <v>0</v>
      </c>
      <c r="L13" s="6">
        <v>0</v>
      </c>
      <c r="M13" s="38"/>
      <c r="N13" s="36"/>
      <c r="O13" s="36"/>
      <c r="P13" s="6">
        <v>9667500</v>
      </c>
      <c r="Q13" s="6">
        <f>R13+S13</f>
        <v>0</v>
      </c>
      <c r="R13" s="6">
        <v>0</v>
      </c>
      <c r="S13" s="6">
        <v>0</v>
      </c>
      <c r="T13" s="6">
        <v>4833800</v>
      </c>
      <c r="U13" s="6">
        <f>V13+W13</f>
        <v>0</v>
      </c>
      <c r="V13" s="6">
        <v>0</v>
      </c>
      <c r="W13" s="6">
        <v>0</v>
      </c>
    </row>
    <row r="14" spans="1:23" s="41" customFormat="1" ht="30" x14ac:dyDescent="0.25">
      <c r="A14" s="234">
        <v>3</v>
      </c>
      <c r="B14" s="13" t="s">
        <v>346</v>
      </c>
      <c r="C14" s="5">
        <v>201900</v>
      </c>
      <c r="D14" s="5">
        <v>0</v>
      </c>
      <c r="E14" s="5">
        <v>0</v>
      </c>
      <c r="F14" s="5">
        <v>0</v>
      </c>
      <c r="G14" s="6">
        <f t="shared" si="0"/>
        <v>217900</v>
      </c>
      <c r="H14" s="6">
        <v>217900</v>
      </c>
      <c r="I14" s="6">
        <f>J14+K14</f>
        <v>0</v>
      </c>
      <c r="J14" s="6">
        <v>0</v>
      </c>
      <c r="K14" s="6">
        <v>0</v>
      </c>
      <c r="L14" s="6">
        <v>0</v>
      </c>
      <c r="M14" s="38"/>
      <c r="N14" s="40"/>
      <c r="O14" s="40"/>
      <c r="P14" s="6">
        <v>217900</v>
      </c>
      <c r="Q14" s="6">
        <f>R14+S14</f>
        <v>0</v>
      </c>
      <c r="R14" s="6">
        <v>0</v>
      </c>
      <c r="S14" s="6">
        <v>0</v>
      </c>
      <c r="T14" s="6">
        <v>217900</v>
      </c>
      <c r="U14" s="6">
        <f>V14+W14</f>
        <v>0</v>
      </c>
      <c r="V14" s="6">
        <v>0</v>
      </c>
      <c r="W14" s="6">
        <v>0</v>
      </c>
    </row>
    <row r="15" spans="1:23" s="41" customFormat="1" ht="13.9" x14ac:dyDescent="0.25">
      <c r="A15" s="234"/>
      <c r="B15" s="13"/>
      <c r="C15" s="5"/>
      <c r="D15" s="5"/>
      <c r="E15" s="5"/>
      <c r="F15" s="5"/>
      <c r="G15" s="6"/>
      <c r="H15" s="6"/>
      <c r="I15" s="6"/>
      <c r="J15" s="6"/>
      <c r="K15" s="6"/>
      <c r="L15" s="6"/>
      <c r="M15" s="38"/>
      <c r="N15" s="42"/>
      <c r="O15" s="42"/>
      <c r="P15" s="6"/>
      <c r="Q15" s="6"/>
      <c r="R15" s="6"/>
      <c r="S15" s="6"/>
      <c r="T15" s="6"/>
      <c r="U15" s="6"/>
      <c r="V15" s="6"/>
      <c r="W15" s="6"/>
    </row>
    <row r="16" spans="1:23" s="35" customFormat="1" x14ac:dyDescent="0.25">
      <c r="A16" s="237"/>
      <c r="B16" s="15" t="s">
        <v>14</v>
      </c>
      <c r="C16" s="54">
        <f>SUM(C12:C14)</f>
        <v>15014212</v>
      </c>
      <c r="D16" s="54">
        <f t="shared" ref="D16:F16" si="1">SUM(D12:D14)</f>
        <v>0</v>
      </c>
      <c r="E16" s="54">
        <f t="shared" si="1"/>
        <v>9678738.5099999998</v>
      </c>
      <c r="F16" s="54">
        <f t="shared" si="1"/>
        <v>0</v>
      </c>
      <c r="G16" s="6">
        <f t="shared" si="0"/>
        <v>21416500</v>
      </c>
      <c r="H16" s="137">
        <f>H12+H13+H14</f>
        <v>21416500</v>
      </c>
      <c r="I16" s="137">
        <f t="shared" ref="I16:W16" si="2">I12+I13+I14</f>
        <v>0</v>
      </c>
      <c r="J16" s="137">
        <f t="shared" si="2"/>
        <v>0</v>
      </c>
      <c r="K16" s="137">
        <f t="shared" si="2"/>
        <v>0</v>
      </c>
      <c r="L16" s="137">
        <f t="shared" si="2"/>
        <v>0</v>
      </c>
      <c r="M16" s="137">
        <f t="shared" si="2"/>
        <v>0</v>
      </c>
      <c r="N16" s="138">
        <v>0</v>
      </c>
      <c r="O16" s="138">
        <v>0</v>
      </c>
      <c r="P16" s="137">
        <f t="shared" si="2"/>
        <v>23731900</v>
      </c>
      <c r="Q16" s="137">
        <f t="shared" si="2"/>
        <v>0</v>
      </c>
      <c r="R16" s="137">
        <f t="shared" si="2"/>
        <v>0</v>
      </c>
      <c r="S16" s="137">
        <f t="shared" si="2"/>
        <v>0</v>
      </c>
      <c r="T16" s="137">
        <f t="shared" si="2"/>
        <v>18898200</v>
      </c>
      <c r="U16" s="137">
        <f t="shared" si="2"/>
        <v>0</v>
      </c>
      <c r="V16" s="137">
        <f t="shared" si="2"/>
        <v>0</v>
      </c>
      <c r="W16" s="137">
        <f t="shared" si="2"/>
        <v>0</v>
      </c>
    </row>
  </sheetData>
  <customSheetViews>
    <customSheetView guid="{F55D2626-B25D-4865-88D7-A4040A583D45}" scale="90" showPageBreaks="1" fitToPage="1" topLeftCell="G1">
      <pane ySplit="11" topLeftCell="A12" activePane="bottomLeft" state="frozen"/>
      <selection pane="bottomLeft" activeCell="N16" sqref="N16:O16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1"/>
    </customSheetView>
    <customSheetView guid="{9D6C8421-31F4-449D-B427-1D13044E970D}" scale="90" showPageBreaks="1" fitToPage="1" topLeftCell="B1">
      <pane ySplit="11" topLeftCell="A15" activePane="bottomLeft" state="frozen"/>
      <selection pane="bottomLeft" activeCell="I12" sqref="I12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A11" sqref="A11:U11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 topLeftCell="B1">
      <pane ySplit="11" topLeftCell="A12" activePane="bottomLeft" state="frozen"/>
      <selection pane="bottomLeft" activeCell="I12" sqref="I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10" fitToHeight="2" orientation="landscape" verticalDpi="180" r:id="rId9"/>
    </customSheetView>
    <customSheetView guid="{6D6F00BA-5393-49B6-B3BC-C80F08FA7E30}" scale="90" showPageBreaks="1" fitToPage="1">
      <pane ySplit="11" topLeftCell="A24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4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K23" sqref="K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 topLeftCell="B1">
      <pane ySplit="11" topLeftCell="A15" activePane="bottomLeft" state="frozen"/>
      <selection pane="bottomLeft" activeCell="I12" sqref="I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C6" sqref="C6:F10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6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4.42578125" style="2" customWidth="1"/>
    <col min="12" max="12" width="17.5703125" style="2" customWidth="1"/>
    <col min="13" max="13" width="56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25">
      <c r="A4" s="291" t="s">
        <v>58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9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449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3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45" x14ac:dyDescent="0.25">
      <c r="A12" s="234">
        <v>1</v>
      </c>
      <c r="B12" s="13" t="s">
        <v>286</v>
      </c>
      <c r="C12" s="13">
        <f>C14</f>
        <v>0</v>
      </c>
      <c r="D12" s="13">
        <f t="shared" ref="D12:F12" si="0">D14</f>
        <v>50000</v>
      </c>
      <c r="E12" s="13">
        <f t="shared" si="0"/>
        <v>0</v>
      </c>
      <c r="F12" s="13">
        <f t="shared" si="0"/>
        <v>50000</v>
      </c>
      <c r="G12" s="13">
        <f>H12+I12</f>
        <v>40500</v>
      </c>
      <c r="H12" s="8">
        <f>H14</f>
        <v>0</v>
      </c>
      <c r="I12" s="8">
        <f>I14</f>
        <v>40500</v>
      </c>
      <c r="J12" s="8">
        <f>J14</f>
        <v>0</v>
      </c>
      <c r="K12" s="8">
        <f>K14</f>
        <v>40500</v>
      </c>
      <c r="L12" s="8">
        <f>L14</f>
        <v>59500</v>
      </c>
      <c r="M12" s="38"/>
      <c r="N12" s="36"/>
      <c r="O12" s="36"/>
      <c r="P12" s="8">
        <f t="shared" ref="P12:W12" si="1">P14</f>
        <v>0</v>
      </c>
      <c r="Q12" s="8">
        <f t="shared" si="1"/>
        <v>41000</v>
      </c>
      <c r="R12" s="8">
        <f t="shared" si="1"/>
        <v>0</v>
      </c>
      <c r="S12" s="8">
        <f t="shared" si="1"/>
        <v>41000</v>
      </c>
      <c r="T12" s="8">
        <f t="shared" si="1"/>
        <v>0</v>
      </c>
      <c r="U12" s="8">
        <f t="shared" si="1"/>
        <v>40300</v>
      </c>
      <c r="V12" s="8">
        <f t="shared" si="1"/>
        <v>0</v>
      </c>
      <c r="W12" s="8">
        <f t="shared" si="1"/>
        <v>40300</v>
      </c>
    </row>
    <row r="13" spans="1:23" s="25" customFormat="1" x14ac:dyDescent="0.25">
      <c r="A13" s="233"/>
      <c r="B13" s="37" t="s">
        <v>1</v>
      </c>
      <c r="C13" s="37"/>
      <c r="D13" s="37"/>
      <c r="E13" s="37"/>
      <c r="F13" s="37"/>
      <c r="G13" s="13">
        <f t="shared" ref="G13:G16" si="2">H13+I13</f>
        <v>0</v>
      </c>
      <c r="H13" s="8"/>
      <c r="I13" s="8"/>
      <c r="J13" s="8"/>
      <c r="K13" s="8"/>
      <c r="L13" s="8"/>
      <c r="M13" s="38"/>
      <c r="N13" s="36"/>
      <c r="O13" s="36"/>
      <c r="P13" s="8"/>
      <c r="Q13" s="8">
        <f t="shared" ref="Q13" si="3">R13+S13</f>
        <v>0</v>
      </c>
      <c r="R13" s="8"/>
      <c r="S13" s="8"/>
      <c r="T13" s="8"/>
      <c r="U13" s="8">
        <f t="shared" ref="U13" si="4">V13+W13</f>
        <v>0</v>
      </c>
      <c r="V13" s="8"/>
      <c r="W13" s="8"/>
    </row>
    <row r="14" spans="1:23" s="41" customFormat="1" ht="30" x14ac:dyDescent="0.25">
      <c r="A14" s="236" t="s">
        <v>4</v>
      </c>
      <c r="B14" s="39" t="s">
        <v>146</v>
      </c>
      <c r="C14" s="39">
        <v>0</v>
      </c>
      <c r="D14" s="39">
        <v>50000</v>
      </c>
      <c r="E14" s="39">
        <v>0</v>
      </c>
      <c r="F14" s="39">
        <v>50000</v>
      </c>
      <c r="G14" s="13">
        <f t="shared" si="2"/>
        <v>40500</v>
      </c>
      <c r="H14" s="8"/>
      <c r="I14" s="8">
        <f>J14+K14</f>
        <v>40500</v>
      </c>
      <c r="J14" s="8"/>
      <c r="K14" s="8">
        <v>40500</v>
      </c>
      <c r="L14" s="8">
        <v>59500</v>
      </c>
      <c r="M14" s="62" t="s">
        <v>146</v>
      </c>
      <c r="N14" s="40"/>
      <c r="O14" s="9">
        <v>59500</v>
      </c>
      <c r="P14" s="8"/>
      <c r="Q14" s="8">
        <f>R14+S14</f>
        <v>41000</v>
      </c>
      <c r="R14" s="8"/>
      <c r="S14" s="8">
        <v>41000</v>
      </c>
      <c r="T14" s="8"/>
      <c r="U14" s="8">
        <f>V14+W14</f>
        <v>40300</v>
      </c>
      <c r="V14" s="8"/>
      <c r="W14" s="8">
        <v>40300</v>
      </c>
    </row>
    <row r="15" spans="1:23" s="41" customFormat="1" ht="13.9" x14ac:dyDescent="0.25">
      <c r="A15" s="236"/>
      <c r="B15" s="39"/>
      <c r="C15" s="39"/>
      <c r="D15" s="39"/>
      <c r="E15" s="39"/>
      <c r="F15" s="39"/>
      <c r="G15" s="13"/>
      <c r="H15" s="8"/>
      <c r="I15" s="8"/>
      <c r="J15" s="8"/>
      <c r="K15" s="8"/>
      <c r="L15" s="8"/>
      <c r="M15" s="62"/>
      <c r="N15" s="42"/>
      <c r="O15" s="42"/>
      <c r="P15" s="8"/>
      <c r="Q15" s="8"/>
      <c r="R15" s="8"/>
      <c r="S15" s="8"/>
      <c r="T15" s="8"/>
      <c r="U15" s="8"/>
      <c r="V15" s="8"/>
      <c r="W15" s="8"/>
    </row>
    <row r="16" spans="1:23" s="35" customFormat="1" x14ac:dyDescent="0.25">
      <c r="A16" s="237"/>
      <c r="B16" s="15" t="s">
        <v>14</v>
      </c>
      <c r="C16" s="15">
        <f>C12</f>
        <v>0</v>
      </c>
      <c r="D16" s="15">
        <f t="shared" ref="D16:F16" si="5">D12</f>
        <v>50000</v>
      </c>
      <c r="E16" s="15">
        <f t="shared" si="5"/>
        <v>0</v>
      </c>
      <c r="F16" s="15">
        <f t="shared" si="5"/>
        <v>50000</v>
      </c>
      <c r="G16" s="13">
        <f t="shared" si="2"/>
        <v>40500</v>
      </c>
      <c r="H16" s="16">
        <f>H12</f>
        <v>0</v>
      </c>
      <c r="I16" s="16">
        <f>I12</f>
        <v>40500</v>
      </c>
      <c r="J16" s="16">
        <f>J12</f>
        <v>0</v>
      </c>
      <c r="K16" s="16">
        <f>K12</f>
        <v>40500</v>
      </c>
      <c r="L16" s="16">
        <f>L12</f>
        <v>59500</v>
      </c>
      <c r="M16" s="16"/>
      <c r="N16" s="43">
        <f>SUM(N12:N15)</f>
        <v>0</v>
      </c>
      <c r="O16" s="43">
        <f>SUM(O12:O15)</f>
        <v>59500</v>
      </c>
      <c r="P16" s="16">
        <f t="shared" ref="P16:W16" si="6">P12</f>
        <v>0</v>
      </c>
      <c r="Q16" s="16">
        <f t="shared" si="6"/>
        <v>41000</v>
      </c>
      <c r="R16" s="16">
        <f t="shared" si="6"/>
        <v>0</v>
      </c>
      <c r="S16" s="16">
        <f t="shared" si="6"/>
        <v>41000</v>
      </c>
      <c r="T16" s="16">
        <f t="shared" si="6"/>
        <v>0</v>
      </c>
      <c r="U16" s="16">
        <f t="shared" si="6"/>
        <v>40300</v>
      </c>
      <c r="V16" s="16">
        <f t="shared" si="6"/>
        <v>0</v>
      </c>
      <c r="W16" s="16">
        <f t="shared" si="6"/>
        <v>40300</v>
      </c>
    </row>
  </sheetData>
  <customSheetViews>
    <customSheetView guid="{F55D2626-B25D-4865-88D7-A4040A583D45}" scale="90" showPageBreaks="1" fitToPage="1" topLeftCell="F1">
      <pane ySplit="11" topLeftCell="A12" activePane="bottomLeft" state="frozen"/>
      <selection pane="bottomLeft" activeCell="N16" sqref="N16:O16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1"/>
    </customSheetView>
    <customSheetView guid="{9D6C8421-31F4-449D-B427-1D13044E970D}" scale="90" showPageBreaks="1" fitToPage="1" topLeftCell="F1">
      <pane ySplit="11" topLeftCell="A12" activePane="bottomLeft" state="frozen"/>
      <selection pane="bottomLeft" activeCell="L14" sqref="L14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A11" sqref="A11:U11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H14" sqref="H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 topLeftCell="D1">
      <pane ySplit="11" topLeftCell="A12" activePane="bottomLeft" state="frozen"/>
      <selection pane="bottomLeft" activeCell="L35" sqref="L3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A24" sqref="A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H15" sqref="H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36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A24" sqref="A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H14" sqref="H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D22" sqref="D22"/>
      <pageMargins left="0.31496062992125984" right="0.31496062992125984" top="0.35433070866141736" bottom="0.35433070866141736" header="0.31496062992125984" footer="0.31496062992125984"/>
      <pageSetup paperSize="9" scale="26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2"/>
  <sheetViews>
    <sheetView zoomScale="90" zoomScaleNormal="90" workbookViewId="0">
      <pane ySplit="11" topLeftCell="A24" activePane="bottomLeft" state="frozen"/>
      <selection activeCell="H14" sqref="H14"/>
      <selection pane="bottomLeft" activeCell="C11" sqref="C11:E11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5.28515625" style="2" customWidth="1"/>
    <col min="12" max="12" width="17.5703125" style="2" customWidth="1"/>
    <col min="13" max="13" width="37.28515625" style="2" customWidth="1"/>
    <col min="14" max="15" width="17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25">
      <c r="A4" s="332" t="s">
        <v>59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111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8">
        <v>3</v>
      </c>
      <c r="D11" s="238"/>
      <c r="E11" s="238">
        <v>4</v>
      </c>
      <c r="F11" s="238"/>
      <c r="G11" s="238">
        <v>5</v>
      </c>
      <c r="H11" s="244">
        <v>6</v>
      </c>
      <c r="I11" s="233">
        <v>7</v>
      </c>
      <c r="J11" s="238">
        <v>8</v>
      </c>
      <c r="K11" s="244">
        <v>9</v>
      </c>
      <c r="L11" s="238">
        <v>10</v>
      </c>
      <c r="M11" s="244">
        <v>11</v>
      </c>
      <c r="N11" s="249"/>
      <c r="O11" s="249"/>
      <c r="P11" s="244">
        <v>12</v>
      </c>
      <c r="Q11" s="233">
        <v>13</v>
      </c>
      <c r="R11" s="238">
        <v>14</v>
      </c>
      <c r="S11" s="244">
        <v>15</v>
      </c>
      <c r="T11" s="244">
        <v>16</v>
      </c>
      <c r="U11" s="233">
        <v>17</v>
      </c>
      <c r="V11" s="238">
        <v>18</v>
      </c>
      <c r="W11" s="244">
        <v>19</v>
      </c>
    </row>
    <row r="12" spans="1:23" s="25" customFormat="1" ht="42.75" x14ac:dyDescent="0.25">
      <c r="A12" s="241">
        <v>1</v>
      </c>
      <c r="B12" s="87" t="s">
        <v>289</v>
      </c>
      <c r="C12" s="88">
        <f>C13+C14+C15</f>
        <v>0</v>
      </c>
      <c r="D12" s="88">
        <f t="shared" ref="D12:F12" si="0">D13+D14+D15</f>
        <v>6401389.2599999998</v>
      </c>
      <c r="E12" s="88">
        <f t="shared" si="0"/>
        <v>0</v>
      </c>
      <c r="F12" s="88">
        <f t="shared" si="0"/>
        <v>3764433.08</v>
      </c>
      <c r="G12" s="88">
        <f t="shared" ref="G12:G27" si="1">H12+I12</f>
        <v>2197018.9200000004</v>
      </c>
      <c r="H12" s="77">
        <f>H13+H14</f>
        <v>0</v>
      </c>
      <c r="I12" s="77">
        <f t="shared" ref="I12:I18" si="2">J12+K12</f>
        <v>2197018.9200000004</v>
      </c>
      <c r="J12" s="77">
        <f>J13+J14</f>
        <v>0</v>
      </c>
      <c r="K12" s="77">
        <f>K13+K14</f>
        <v>2197018.9200000004</v>
      </c>
      <c r="L12" s="77">
        <f>L13+L14</f>
        <v>3806325.0900000008</v>
      </c>
      <c r="M12" s="122"/>
      <c r="N12" s="123"/>
      <c r="O12" s="123"/>
      <c r="P12" s="77">
        <f t="shared" ref="P12:V12" si="3">P13+P14</f>
        <v>0</v>
      </c>
      <c r="Q12" s="77">
        <f>R12+S12</f>
        <v>0</v>
      </c>
      <c r="R12" s="77">
        <f t="shared" si="3"/>
        <v>0</v>
      </c>
      <c r="S12" s="77">
        <f t="shared" si="3"/>
        <v>0</v>
      </c>
      <c r="T12" s="77">
        <f t="shared" si="3"/>
        <v>0</v>
      </c>
      <c r="U12" s="77">
        <f>U13+U14</f>
        <v>6271809.5700000003</v>
      </c>
      <c r="V12" s="77">
        <f t="shared" si="3"/>
        <v>0</v>
      </c>
      <c r="W12" s="77">
        <f>W13+W14</f>
        <v>6271809.5700000003</v>
      </c>
    </row>
    <row r="13" spans="1:23" s="25" customFormat="1" ht="30" x14ac:dyDescent="0.25">
      <c r="A13" s="243">
        <v>1</v>
      </c>
      <c r="B13" s="22" t="s">
        <v>290</v>
      </c>
      <c r="C13" s="124">
        <v>0</v>
      </c>
      <c r="D13" s="124">
        <v>0</v>
      </c>
      <c r="E13" s="124">
        <v>0</v>
      </c>
      <c r="F13" s="124">
        <v>0</v>
      </c>
      <c r="G13" s="124">
        <f t="shared" si="1"/>
        <v>0</v>
      </c>
      <c r="H13" s="23">
        <v>0</v>
      </c>
      <c r="I13" s="23">
        <f t="shared" si="2"/>
        <v>0</v>
      </c>
      <c r="J13" s="23">
        <v>0</v>
      </c>
      <c r="K13" s="23">
        <v>0</v>
      </c>
      <c r="L13" s="23"/>
      <c r="M13" s="24"/>
      <c r="N13" s="73"/>
      <c r="O13" s="73"/>
      <c r="P13" s="23">
        <v>0</v>
      </c>
      <c r="Q13" s="23">
        <f>R13+S13</f>
        <v>0</v>
      </c>
      <c r="R13" s="23">
        <v>0</v>
      </c>
      <c r="S13" s="23">
        <v>0</v>
      </c>
      <c r="T13" s="23">
        <v>0</v>
      </c>
      <c r="U13" s="23">
        <f t="shared" ref="U13:U27" si="4">V13+W13</f>
        <v>0</v>
      </c>
      <c r="V13" s="23">
        <v>0</v>
      </c>
      <c r="W13" s="23">
        <v>0</v>
      </c>
    </row>
    <row r="14" spans="1:23" s="29" customFormat="1" ht="115.5" x14ac:dyDescent="0.25">
      <c r="A14" s="243">
        <v>2</v>
      </c>
      <c r="B14" s="22" t="s">
        <v>291</v>
      </c>
      <c r="C14" s="124">
        <v>0</v>
      </c>
      <c r="D14" s="124">
        <v>5258866.16</v>
      </c>
      <c r="E14" s="124">
        <v>0</v>
      </c>
      <c r="F14" s="124">
        <v>2629433.08</v>
      </c>
      <c r="G14" s="124">
        <f t="shared" si="1"/>
        <v>2197018.9200000004</v>
      </c>
      <c r="H14" s="23">
        <v>0</v>
      </c>
      <c r="I14" s="23">
        <f>J14+K14</f>
        <v>2197018.9200000004</v>
      </c>
      <c r="J14" s="23">
        <v>0</v>
      </c>
      <c r="K14" s="106">
        <f>916652.6+1004641.9+279220.24-3495.82</f>
        <v>2197018.9200000004</v>
      </c>
      <c r="L14" s="23">
        <f>6006839.83-916652.6-1004641.9-279220.24</f>
        <v>3806325.0900000008</v>
      </c>
      <c r="M14" s="122" t="s">
        <v>389</v>
      </c>
      <c r="N14" s="123"/>
      <c r="O14" s="118">
        <v>3806325.0900000008</v>
      </c>
      <c r="P14" s="23">
        <v>0</v>
      </c>
      <c r="Q14" s="23">
        <f>R14+S14</f>
        <v>0</v>
      </c>
      <c r="R14" s="23">
        <v>0</v>
      </c>
      <c r="S14" s="23">
        <v>0</v>
      </c>
      <c r="T14" s="23">
        <v>0</v>
      </c>
      <c r="U14" s="23">
        <f t="shared" si="4"/>
        <v>6271809.5700000003</v>
      </c>
      <c r="V14" s="23">
        <v>0</v>
      </c>
      <c r="W14" s="23">
        <f>6438444.58-166635.01</f>
        <v>6271809.5700000003</v>
      </c>
    </row>
    <row r="15" spans="1:23" s="29" customFormat="1" ht="30" x14ac:dyDescent="0.25">
      <c r="A15" s="243">
        <v>3</v>
      </c>
      <c r="B15" s="30" t="s">
        <v>443</v>
      </c>
      <c r="C15" s="124">
        <v>0</v>
      </c>
      <c r="D15" s="124">
        <v>1142523.1000000001</v>
      </c>
      <c r="E15" s="124"/>
      <c r="F15" s="124">
        <v>1135000</v>
      </c>
      <c r="G15" s="124"/>
      <c r="H15" s="23"/>
      <c r="I15" s="23"/>
      <c r="J15" s="23"/>
      <c r="K15" s="106"/>
      <c r="L15" s="23"/>
      <c r="M15" s="122"/>
      <c r="N15" s="123"/>
      <c r="O15" s="118"/>
      <c r="P15" s="23"/>
      <c r="Q15" s="23"/>
      <c r="R15" s="23"/>
      <c r="S15" s="23"/>
      <c r="T15" s="23"/>
      <c r="U15" s="23"/>
      <c r="V15" s="23"/>
      <c r="W15" s="23"/>
    </row>
    <row r="16" spans="1:23" s="29" customFormat="1" ht="42.75" x14ac:dyDescent="0.25">
      <c r="A16" s="241">
        <v>2</v>
      </c>
      <c r="B16" s="87" t="s">
        <v>292</v>
      </c>
      <c r="C16" s="88">
        <f>C17</f>
        <v>0</v>
      </c>
      <c r="D16" s="88">
        <f>D17</f>
        <v>166635.01</v>
      </c>
      <c r="E16" s="88">
        <f>E17</f>
        <v>0</v>
      </c>
      <c r="F16" s="88">
        <f>F17</f>
        <v>166635.01</v>
      </c>
      <c r="G16" s="88">
        <f t="shared" si="1"/>
        <v>166635.01</v>
      </c>
      <c r="H16" s="77">
        <f>H17</f>
        <v>0</v>
      </c>
      <c r="I16" s="77">
        <f t="shared" si="2"/>
        <v>166635.01</v>
      </c>
      <c r="J16" s="77">
        <f>J17</f>
        <v>0</v>
      </c>
      <c r="K16" s="77">
        <f>K17</f>
        <v>166635.01</v>
      </c>
      <c r="L16" s="77">
        <f>L17</f>
        <v>0</v>
      </c>
      <c r="M16" s="28"/>
      <c r="N16" s="74"/>
      <c r="O16" s="74"/>
      <c r="P16" s="77">
        <f t="shared" ref="P16:W16" si="5">P17</f>
        <v>0</v>
      </c>
      <c r="Q16" s="77">
        <f t="shared" ref="Q16:Q27" si="6">R16+S16</f>
        <v>166635.01</v>
      </c>
      <c r="R16" s="77">
        <f t="shared" si="5"/>
        <v>0</v>
      </c>
      <c r="S16" s="77">
        <f t="shared" si="5"/>
        <v>166635.01</v>
      </c>
      <c r="T16" s="77">
        <f t="shared" si="5"/>
        <v>0</v>
      </c>
      <c r="U16" s="77">
        <f t="shared" si="4"/>
        <v>166635.01</v>
      </c>
      <c r="V16" s="77">
        <f t="shared" si="5"/>
        <v>0</v>
      </c>
      <c r="W16" s="77">
        <f t="shared" si="5"/>
        <v>166635.01</v>
      </c>
    </row>
    <row r="17" spans="1:23" s="29" customFormat="1" ht="75" x14ac:dyDescent="0.25">
      <c r="A17" s="243">
        <v>1</v>
      </c>
      <c r="B17" s="22" t="s">
        <v>293</v>
      </c>
      <c r="C17" s="124">
        <v>0</v>
      </c>
      <c r="D17" s="124">
        <v>166635.01</v>
      </c>
      <c r="E17" s="124">
        <v>0</v>
      </c>
      <c r="F17" s="124">
        <v>166635.01</v>
      </c>
      <c r="G17" s="124">
        <f t="shared" si="1"/>
        <v>166635.01</v>
      </c>
      <c r="H17" s="23">
        <v>0</v>
      </c>
      <c r="I17" s="23">
        <f t="shared" si="2"/>
        <v>166635.01</v>
      </c>
      <c r="J17" s="23">
        <v>0</v>
      </c>
      <c r="K17" s="23">
        <v>166635.01</v>
      </c>
      <c r="L17" s="23">
        <v>0</v>
      </c>
      <c r="M17" s="125"/>
      <c r="N17" s="126"/>
      <c r="O17" s="126"/>
      <c r="P17" s="23">
        <v>0</v>
      </c>
      <c r="Q17" s="23">
        <f t="shared" si="6"/>
        <v>166635.01</v>
      </c>
      <c r="R17" s="23">
        <v>0</v>
      </c>
      <c r="S17" s="23">
        <v>166635.01</v>
      </c>
      <c r="T17" s="23">
        <v>0</v>
      </c>
      <c r="U17" s="23">
        <f t="shared" si="4"/>
        <v>166635.01</v>
      </c>
      <c r="V17" s="23">
        <v>0</v>
      </c>
      <c r="W17" s="23">
        <v>166635.01</v>
      </c>
    </row>
    <row r="18" spans="1:23" s="29" customFormat="1" ht="99.75" x14ac:dyDescent="0.25">
      <c r="A18" s="241">
        <v>3</v>
      </c>
      <c r="B18" s="87" t="s">
        <v>294</v>
      </c>
      <c r="C18" s="88">
        <f>C19</f>
        <v>4932900</v>
      </c>
      <c r="D18" s="88">
        <f>D19</f>
        <v>17318531.539999999</v>
      </c>
      <c r="E18" s="88">
        <f>E19</f>
        <v>0</v>
      </c>
      <c r="F18" s="88">
        <f>F19</f>
        <v>4664539.8600000003</v>
      </c>
      <c r="G18" s="88">
        <f t="shared" si="1"/>
        <v>18554610</v>
      </c>
      <c r="H18" s="77">
        <f>H19</f>
        <v>10039500</v>
      </c>
      <c r="I18" s="77">
        <f t="shared" si="2"/>
        <v>8515110</v>
      </c>
      <c r="J18" s="77">
        <f>J19</f>
        <v>1115500</v>
      </c>
      <c r="K18" s="77">
        <f>K19</f>
        <v>7399610</v>
      </c>
      <c r="L18" s="77">
        <f>L19</f>
        <v>7261110</v>
      </c>
      <c r="M18" s="127"/>
      <c r="N18" s="128"/>
      <c r="O18" s="128"/>
      <c r="P18" s="77">
        <f t="shared" ref="P18:W18" si="7">P19</f>
        <v>8386700</v>
      </c>
      <c r="Q18" s="77">
        <f t="shared" si="6"/>
        <v>12271821.020000001</v>
      </c>
      <c r="R18" s="77">
        <f t="shared" si="7"/>
        <v>931855.56</v>
      </c>
      <c r="S18" s="77">
        <f t="shared" si="7"/>
        <v>11339965.460000001</v>
      </c>
      <c r="T18" s="77">
        <f t="shared" si="7"/>
        <v>8401300</v>
      </c>
      <c r="U18" s="77">
        <f t="shared" si="4"/>
        <v>5590911.450000002</v>
      </c>
      <c r="V18" s="77">
        <f t="shared" si="7"/>
        <v>933477.78</v>
      </c>
      <c r="W18" s="77">
        <f t="shared" si="7"/>
        <v>4657433.6700000018</v>
      </c>
    </row>
    <row r="19" spans="1:23" s="29" customFormat="1" ht="120" x14ac:dyDescent="0.25">
      <c r="A19" s="243">
        <v>1</v>
      </c>
      <c r="B19" s="22" t="s">
        <v>295</v>
      </c>
      <c r="C19" s="124">
        <v>4932900</v>
      </c>
      <c r="D19" s="124">
        <v>17318531.539999999</v>
      </c>
      <c r="E19" s="124">
        <v>0</v>
      </c>
      <c r="F19" s="124">
        <v>4664539.8600000003</v>
      </c>
      <c r="G19" s="124">
        <f t="shared" si="1"/>
        <v>18554610</v>
      </c>
      <c r="H19" s="23">
        <v>10039500</v>
      </c>
      <c r="I19" s="23">
        <f t="shared" ref="I19:I27" si="8">J19+K19</f>
        <v>8515110</v>
      </c>
      <c r="J19" s="23">
        <v>1115500</v>
      </c>
      <c r="K19" s="106">
        <f>3547790+3851820</f>
        <v>7399610</v>
      </c>
      <c r="L19" s="23">
        <f>14660720-3547790-3851820</f>
        <v>7261110</v>
      </c>
      <c r="M19" s="24" t="s">
        <v>388</v>
      </c>
      <c r="N19" s="118"/>
      <c r="O19" s="118">
        <f>L19</f>
        <v>7261110</v>
      </c>
      <c r="P19" s="23">
        <v>8386700</v>
      </c>
      <c r="Q19" s="23">
        <f t="shared" si="6"/>
        <v>12271821.020000001</v>
      </c>
      <c r="R19" s="23">
        <v>931855.56</v>
      </c>
      <c r="S19" s="23">
        <f>11506600.47-166635.01</f>
        <v>11339965.460000001</v>
      </c>
      <c r="T19" s="23">
        <v>8401300</v>
      </c>
      <c r="U19" s="23">
        <f t="shared" si="4"/>
        <v>5590911.450000002</v>
      </c>
      <c r="V19" s="23">
        <v>933477.78</v>
      </c>
      <c r="W19" s="23">
        <v>4657433.6700000018</v>
      </c>
    </row>
    <row r="20" spans="1:23" s="29" customFormat="1" ht="42.75" x14ac:dyDescent="0.25">
      <c r="A20" s="241">
        <v>4</v>
      </c>
      <c r="B20" s="87" t="s">
        <v>296</v>
      </c>
      <c r="C20" s="88">
        <f>C21</f>
        <v>0</v>
      </c>
      <c r="D20" s="88">
        <f>D21</f>
        <v>0</v>
      </c>
      <c r="E20" s="88">
        <f>E21</f>
        <v>0</v>
      </c>
      <c r="F20" s="88">
        <f>F21</f>
        <v>0</v>
      </c>
      <c r="G20" s="88">
        <f t="shared" si="1"/>
        <v>0</v>
      </c>
      <c r="H20" s="77">
        <f>H21</f>
        <v>0</v>
      </c>
      <c r="I20" s="77">
        <f t="shared" si="8"/>
        <v>0</v>
      </c>
      <c r="J20" s="77">
        <f>J21</f>
        <v>0</v>
      </c>
      <c r="K20" s="77">
        <f>K21</f>
        <v>0</v>
      </c>
      <c r="L20" s="77">
        <f>L21</f>
        <v>0</v>
      </c>
      <c r="M20" s="129"/>
      <c r="N20" s="130"/>
      <c r="O20" s="130"/>
      <c r="P20" s="77">
        <f t="shared" ref="P20:W20" si="9">P21</f>
        <v>0</v>
      </c>
      <c r="Q20" s="77">
        <f t="shared" si="6"/>
        <v>0</v>
      </c>
      <c r="R20" s="77">
        <f t="shared" si="9"/>
        <v>0</v>
      </c>
      <c r="S20" s="77">
        <f t="shared" si="9"/>
        <v>0</v>
      </c>
      <c r="T20" s="77">
        <f t="shared" si="9"/>
        <v>0</v>
      </c>
      <c r="U20" s="77">
        <f t="shared" si="4"/>
        <v>0</v>
      </c>
      <c r="V20" s="77">
        <f t="shared" si="9"/>
        <v>0</v>
      </c>
      <c r="W20" s="77">
        <f t="shared" si="9"/>
        <v>0</v>
      </c>
    </row>
    <row r="21" spans="1:23" s="25" customFormat="1" ht="30" x14ac:dyDescent="0.25">
      <c r="A21" s="243">
        <v>1</v>
      </c>
      <c r="B21" s="22" t="s">
        <v>297</v>
      </c>
      <c r="C21" s="124">
        <v>0</v>
      </c>
      <c r="D21" s="124">
        <v>0</v>
      </c>
      <c r="E21" s="124">
        <v>0</v>
      </c>
      <c r="F21" s="124">
        <v>0</v>
      </c>
      <c r="G21" s="124">
        <f t="shared" si="1"/>
        <v>0</v>
      </c>
      <c r="H21" s="23">
        <v>0</v>
      </c>
      <c r="I21" s="23">
        <f t="shared" si="8"/>
        <v>0</v>
      </c>
      <c r="J21" s="23">
        <v>0</v>
      </c>
      <c r="K21" s="23">
        <v>0</v>
      </c>
      <c r="L21" s="23">
        <v>0</v>
      </c>
      <c r="M21" s="24"/>
      <c r="N21" s="73"/>
      <c r="O21" s="73"/>
      <c r="P21" s="23">
        <v>0</v>
      </c>
      <c r="Q21" s="23">
        <f t="shared" si="6"/>
        <v>0</v>
      </c>
      <c r="R21" s="23">
        <v>0</v>
      </c>
      <c r="S21" s="23">
        <v>0</v>
      </c>
      <c r="T21" s="23">
        <v>0</v>
      </c>
      <c r="U21" s="23">
        <f t="shared" si="4"/>
        <v>0</v>
      </c>
      <c r="V21" s="23">
        <v>0</v>
      </c>
      <c r="W21" s="23">
        <v>0</v>
      </c>
    </row>
    <row r="22" spans="1:23" s="25" customFormat="1" ht="28.5" x14ac:dyDescent="0.25">
      <c r="A22" s="241">
        <v>5</v>
      </c>
      <c r="B22" s="87" t="s">
        <v>298</v>
      </c>
      <c r="C22" s="88">
        <f>SUM(C23:C31)</f>
        <v>773100</v>
      </c>
      <c r="D22" s="88">
        <f t="shared" ref="D22:F22" si="10">SUM(D23:D31)</f>
        <v>31335404.940000001</v>
      </c>
      <c r="E22" s="88">
        <f t="shared" si="10"/>
        <v>165480.70000000001</v>
      </c>
      <c r="F22" s="88">
        <f t="shared" si="10"/>
        <v>26675846.460000001</v>
      </c>
      <c r="G22" s="88">
        <f t="shared" si="1"/>
        <v>12327136.069999998</v>
      </c>
      <c r="H22" s="77">
        <f>H23+H24+H25+H26+H27</f>
        <v>498700</v>
      </c>
      <c r="I22" s="77">
        <f t="shared" si="8"/>
        <v>11828436.069999998</v>
      </c>
      <c r="J22" s="77">
        <f>J23+J24+J25+J26+J27</f>
        <v>0</v>
      </c>
      <c r="K22" s="77">
        <f>K23+K24+K25+K26+K27</f>
        <v>11828436.069999998</v>
      </c>
      <c r="L22" s="77">
        <f>L23+L24+L25+L26+L27</f>
        <v>1500000</v>
      </c>
      <c r="M22" s="28"/>
      <c r="N22" s="74"/>
      <c r="O22" s="74"/>
      <c r="P22" s="77">
        <f>P23+P24+P25+P26+P27</f>
        <v>179700</v>
      </c>
      <c r="Q22" s="77">
        <f t="shared" si="6"/>
        <v>10572243.970000001</v>
      </c>
      <c r="R22" s="77">
        <f>R23+R24+R25+R26+R27</f>
        <v>0</v>
      </c>
      <c r="S22" s="77">
        <f>S23+S24+S25+S26+S27</f>
        <v>10572243.970000001</v>
      </c>
      <c r="T22" s="77">
        <f>T23+T24+T25+T26+T27</f>
        <v>179700</v>
      </c>
      <c r="U22" s="77">
        <f t="shared" si="4"/>
        <v>10572243.970000001</v>
      </c>
      <c r="V22" s="77">
        <f>V23+V24+V25+V26+V27</f>
        <v>0</v>
      </c>
      <c r="W22" s="77">
        <f>W23+W24+W25+W26+W27</f>
        <v>10572243.970000001</v>
      </c>
    </row>
    <row r="23" spans="1:23" s="25" customFormat="1" ht="53.45" customHeight="1" x14ac:dyDescent="0.25">
      <c r="A23" s="243">
        <v>1</v>
      </c>
      <c r="B23" s="22" t="s">
        <v>299</v>
      </c>
      <c r="C23" s="124">
        <v>0</v>
      </c>
      <c r="D23" s="124">
        <v>4878624.41</v>
      </c>
      <c r="E23" s="124">
        <v>0</v>
      </c>
      <c r="F23" s="124">
        <v>2885302.99</v>
      </c>
      <c r="G23" s="124">
        <f t="shared" si="1"/>
        <v>5750532.8300000001</v>
      </c>
      <c r="H23" s="23">
        <v>0</v>
      </c>
      <c r="I23" s="23">
        <f t="shared" si="8"/>
        <v>5750532.8300000001</v>
      </c>
      <c r="J23" s="23">
        <v>0</v>
      </c>
      <c r="K23" s="23">
        <v>5750532.8300000001</v>
      </c>
      <c r="L23" s="23">
        <v>0</v>
      </c>
      <c r="M23" s="28"/>
      <c r="N23" s="74"/>
      <c r="O23" s="74"/>
      <c r="P23" s="23">
        <v>0</v>
      </c>
      <c r="Q23" s="23">
        <f t="shared" si="6"/>
        <v>5750532.8300000001</v>
      </c>
      <c r="R23" s="23">
        <v>0</v>
      </c>
      <c r="S23" s="23">
        <v>5750532.8300000001</v>
      </c>
      <c r="T23" s="23">
        <v>0</v>
      </c>
      <c r="U23" s="23">
        <f t="shared" si="4"/>
        <v>5750532.8300000001</v>
      </c>
      <c r="V23" s="23">
        <v>0</v>
      </c>
      <c r="W23" s="23">
        <v>5750532.8300000001</v>
      </c>
    </row>
    <row r="24" spans="1:23" s="29" customFormat="1" ht="45" x14ac:dyDescent="0.25">
      <c r="A24" s="243">
        <v>2</v>
      </c>
      <c r="B24" s="22" t="s">
        <v>300</v>
      </c>
      <c r="C24" s="124">
        <v>0</v>
      </c>
      <c r="D24" s="124">
        <v>4066109.14</v>
      </c>
      <c r="E24" s="124">
        <v>0</v>
      </c>
      <c r="F24" s="124">
        <v>2889974.56</v>
      </c>
      <c r="G24" s="124">
        <f t="shared" si="1"/>
        <v>4811257.3599999994</v>
      </c>
      <c r="H24" s="23">
        <v>0</v>
      </c>
      <c r="I24" s="23">
        <f t="shared" si="8"/>
        <v>4811257.3599999994</v>
      </c>
      <c r="J24" s="23">
        <v>0</v>
      </c>
      <c r="K24" s="23">
        <f>4409994.22+401263.14</f>
        <v>4811257.3599999994</v>
      </c>
      <c r="L24" s="23">
        <v>0</v>
      </c>
      <c r="M24" s="131"/>
      <c r="N24" s="132"/>
      <c r="O24" s="132"/>
      <c r="P24" s="133">
        <v>0</v>
      </c>
      <c r="Q24" s="23">
        <f t="shared" si="6"/>
        <v>4807761.54</v>
      </c>
      <c r="R24" s="133">
        <v>0</v>
      </c>
      <c r="S24" s="133">
        <f>4409994.22+397767.32</f>
        <v>4807761.54</v>
      </c>
      <c r="T24" s="133">
        <v>0</v>
      </c>
      <c r="U24" s="23">
        <f t="shared" si="4"/>
        <v>4807761.54</v>
      </c>
      <c r="V24" s="133">
        <v>0</v>
      </c>
      <c r="W24" s="133">
        <f>4409994.22+397767.32</f>
        <v>4807761.54</v>
      </c>
    </row>
    <row r="25" spans="1:23" s="29" customFormat="1" x14ac:dyDescent="0.25">
      <c r="A25" s="243">
        <v>3</v>
      </c>
      <c r="B25" s="22" t="s">
        <v>301</v>
      </c>
      <c r="C25" s="124">
        <v>0</v>
      </c>
      <c r="D25" s="124">
        <v>15294.74</v>
      </c>
      <c r="E25" s="124">
        <v>0</v>
      </c>
      <c r="F25" s="124">
        <v>6974.8</v>
      </c>
      <c r="G25" s="124">
        <f t="shared" si="1"/>
        <v>13949.6</v>
      </c>
      <c r="H25" s="23">
        <v>0</v>
      </c>
      <c r="I25" s="23">
        <f t="shared" si="8"/>
        <v>13949.6</v>
      </c>
      <c r="J25" s="23">
        <v>0</v>
      </c>
      <c r="K25" s="23">
        <f>280*49.82</f>
        <v>13949.6</v>
      </c>
      <c r="L25" s="23"/>
      <c r="M25" s="134"/>
      <c r="N25" s="135"/>
      <c r="O25" s="135"/>
      <c r="P25" s="23">
        <v>0</v>
      </c>
      <c r="Q25" s="23">
        <f t="shared" si="6"/>
        <v>13949.6</v>
      </c>
      <c r="R25" s="23">
        <v>0</v>
      </c>
      <c r="S25" s="23">
        <f>280*49.82</f>
        <v>13949.6</v>
      </c>
      <c r="T25" s="23"/>
      <c r="U25" s="23">
        <f t="shared" si="4"/>
        <v>13949.6</v>
      </c>
      <c r="V25" s="23">
        <v>0</v>
      </c>
      <c r="W25" s="23">
        <f>280*49.82</f>
        <v>13949.6</v>
      </c>
    </row>
    <row r="26" spans="1:23" s="29" customFormat="1" ht="75" x14ac:dyDescent="0.25">
      <c r="A26" s="243">
        <v>4</v>
      </c>
      <c r="B26" s="22" t="s">
        <v>302</v>
      </c>
      <c r="C26" s="124">
        <v>166100</v>
      </c>
      <c r="D26" s="124">
        <v>250000</v>
      </c>
      <c r="E26" s="124">
        <v>165480.70000000001</v>
      </c>
      <c r="F26" s="124">
        <v>75218.5</v>
      </c>
      <c r="G26" s="124">
        <f t="shared" si="1"/>
        <v>498700</v>
      </c>
      <c r="H26" s="23">
        <v>498700</v>
      </c>
      <c r="I26" s="23">
        <f t="shared" si="8"/>
        <v>0</v>
      </c>
      <c r="J26" s="23">
        <v>0</v>
      </c>
      <c r="K26" s="23">
        <v>0</v>
      </c>
      <c r="L26" s="23">
        <v>1500000</v>
      </c>
      <c r="M26" s="28"/>
      <c r="N26" s="74"/>
      <c r="O26" s="74"/>
      <c r="P26" s="23">
        <v>179700</v>
      </c>
      <c r="Q26" s="23">
        <f t="shared" si="6"/>
        <v>0</v>
      </c>
      <c r="R26" s="23">
        <v>0</v>
      </c>
      <c r="S26" s="23">
        <v>0</v>
      </c>
      <c r="T26" s="23">
        <v>179700</v>
      </c>
      <c r="U26" s="23">
        <f t="shared" si="4"/>
        <v>0</v>
      </c>
      <c r="V26" s="23">
        <v>0</v>
      </c>
      <c r="W26" s="23">
        <v>0</v>
      </c>
    </row>
    <row r="27" spans="1:23" s="11" customFormat="1" ht="30" x14ac:dyDescent="0.25">
      <c r="A27" s="236">
        <v>5</v>
      </c>
      <c r="B27" s="13" t="s">
        <v>360</v>
      </c>
      <c r="C27" s="5">
        <v>0</v>
      </c>
      <c r="D27" s="5">
        <v>1281643.31</v>
      </c>
      <c r="E27" s="5">
        <v>0</v>
      </c>
      <c r="F27" s="5">
        <v>818375.61</v>
      </c>
      <c r="G27" s="124">
        <f t="shared" si="1"/>
        <v>1252696.28</v>
      </c>
      <c r="H27" s="8">
        <v>0</v>
      </c>
      <c r="I27" s="23">
        <f t="shared" si="8"/>
        <v>1252696.28</v>
      </c>
      <c r="J27" s="8">
        <v>0</v>
      </c>
      <c r="K27" s="8">
        <f>682352.36+99792+470551.92</f>
        <v>1252696.28</v>
      </c>
      <c r="L27" s="8"/>
      <c r="M27" s="34"/>
      <c r="N27" s="42"/>
      <c r="O27" s="42"/>
      <c r="P27" s="8">
        <v>0</v>
      </c>
      <c r="Q27" s="23">
        <f t="shared" si="6"/>
        <v>0</v>
      </c>
      <c r="R27" s="8">
        <v>0</v>
      </c>
      <c r="S27" s="8">
        <v>0</v>
      </c>
      <c r="T27" s="8">
        <v>0</v>
      </c>
      <c r="U27" s="23">
        <f t="shared" si="4"/>
        <v>0</v>
      </c>
      <c r="V27" s="8">
        <v>0</v>
      </c>
      <c r="W27" s="8">
        <v>0</v>
      </c>
    </row>
    <row r="28" spans="1:23" s="11" customFormat="1" x14ac:dyDescent="0.25">
      <c r="A28" s="236">
        <v>6</v>
      </c>
      <c r="B28" s="13" t="s">
        <v>444</v>
      </c>
      <c r="C28" s="5">
        <v>0</v>
      </c>
      <c r="D28" s="5">
        <v>20060400</v>
      </c>
      <c r="E28" s="5">
        <v>0</v>
      </c>
      <c r="F28" s="5">
        <v>20000000</v>
      </c>
      <c r="G28" s="124"/>
      <c r="H28" s="8"/>
      <c r="I28" s="23"/>
      <c r="J28" s="8"/>
      <c r="K28" s="8"/>
      <c r="L28" s="8"/>
      <c r="M28" s="34"/>
      <c r="N28" s="42"/>
      <c r="O28" s="42"/>
      <c r="P28" s="8"/>
      <c r="Q28" s="23"/>
      <c r="R28" s="8"/>
      <c r="S28" s="8"/>
      <c r="T28" s="8"/>
      <c r="U28" s="23"/>
      <c r="V28" s="8"/>
      <c r="W28" s="8"/>
    </row>
    <row r="29" spans="1:23" s="11" customFormat="1" ht="30" x14ac:dyDescent="0.25">
      <c r="A29" s="236">
        <v>7</v>
      </c>
      <c r="B29" s="13" t="s">
        <v>442</v>
      </c>
      <c r="C29" s="5">
        <v>607000</v>
      </c>
      <c r="D29" s="5">
        <v>229000</v>
      </c>
      <c r="E29" s="5">
        <v>0</v>
      </c>
      <c r="F29" s="5">
        <v>0</v>
      </c>
      <c r="G29" s="124"/>
      <c r="H29" s="8"/>
      <c r="I29" s="23"/>
      <c r="J29" s="8"/>
      <c r="K29" s="8"/>
      <c r="L29" s="8"/>
      <c r="M29" s="34"/>
      <c r="N29" s="42"/>
      <c r="O29" s="42"/>
      <c r="P29" s="8"/>
      <c r="Q29" s="23"/>
      <c r="R29" s="8"/>
      <c r="S29" s="8"/>
      <c r="T29" s="8"/>
      <c r="U29" s="23"/>
      <c r="V29" s="8"/>
      <c r="W29" s="8"/>
    </row>
    <row r="30" spans="1:23" x14ac:dyDescent="0.25">
      <c r="A30" s="251">
        <v>8</v>
      </c>
      <c r="B30" s="14" t="s">
        <v>445</v>
      </c>
      <c r="C30" s="5">
        <v>0</v>
      </c>
      <c r="D30" s="5">
        <v>254333.34</v>
      </c>
      <c r="E30" s="5">
        <v>0</v>
      </c>
      <c r="F30" s="5">
        <v>0</v>
      </c>
      <c r="G30" s="14"/>
      <c r="H30" s="14"/>
      <c r="I30" s="14"/>
      <c r="J30" s="14"/>
      <c r="K30" s="14"/>
      <c r="L30" s="14"/>
      <c r="M30" s="14"/>
      <c r="N30" s="59"/>
      <c r="O30" s="59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251">
        <v>9</v>
      </c>
      <c r="B31" s="14" t="s">
        <v>446</v>
      </c>
      <c r="C31" s="5">
        <v>0</v>
      </c>
      <c r="D31" s="5">
        <v>300000</v>
      </c>
      <c r="E31" s="5">
        <v>0</v>
      </c>
      <c r="F31" s="5">
        <v>0</v>
      </c>
      <c r="G31" s="14"/>
      <c r="H31" s="14"/>
      <c r="I31" s="14"/>
      <c r="J31" s="14"/>
      <c r="K31" s="14"/>
      <c r="L31" s="14"/>
      <c r="M31" s="14"/>
      <c r="N31" s="59"/>
      <c r="O31" s="59"/>
      <c r="P31" s="14"/>
      <c r="Q31" s="14"/>
      <c r="R31" s="14"/>
      <c r="S31" s="14"/>
      <c r="T31" s="14"/>
      <c r="U31" s="14"/>
      <c r="V31" s="14"/>
      <c r="W31" s="14"/>
    </row>
    <row r="32" spans="1:23" s="11" customFormat="1" x14ac:dyDescent="0.25">
      <c r="A32" s="234"/>
      <c r="B32" s="120" t="s">
        <v>14</v>
      </c>
      <c r="C32" s="121">
        <f>C12+C16+C18+C20+C22</f>
        <v>5706000</v>
      </c>
      <c r="D32" s="121">
        <f t="shared" ref="D32:F32" si="11">D12+D16+D18+D20+D22</f>
        <v>55221960.75</v>
      </c>
      <c r="E32" s="121">
        <f t="shared" si="11"/>
        <v>165480.70000000001</v>
      </c>
      <c r="F32" s="121">
        <f t="shared" si="11"/>
        <v>35271454.409999996</v>
      </c>
      <c r="G32" s="121">
        <f>G12+G16+G18+G20+G22</f>
        <v>33245400</v>
      </c>
      <c r="H32" s="17">
        <f>H12+H16+H18+H20+H22</f>
        <v>10538200</v>
      </c>
      <c r="I32" s="17">
        <f t="shared" ref="I32:L32" si="12">I12+I16+I18+I20+I22</f>
        <v>22707200</v>
      </c>
      <c r="J32" s="17">
        <f t="shared" si="12"/>
        <v>1115500</v>
      </c>
      <c r="K32" s="17">
        <f t="shared" si="12"/>
        <v>21591700</v>
      </c>
      <c r="L32" s="17">
        <f t="shared" si="12"/>
        <v>12567435.09</v>
      </c>
      <c r="M32" s="34"/>
      <c r="N32" s="43">
        <f>SUM(N12:N31)</f>
        <v>0</v>
      </c>
      <c r="O32" s="43">
        <f>SUM(O12:O31)</f>
        <v>11067435.09</v>
      </c>
      <c r="P32" s="17">
        <f>P12+P16+P18+P20+P22</f>
        <v>8566400</v>
      </c>
      <c r="Q32" s="17">
        <f>Q12+Q16+Q18+Q20+Q22</f>
        <v>23010700</v>
      </c>
      <c r="R32" s="17">
        <f t="shared" ref="R32:W32" si="13">R12+R16+R18+R20+R22</f>
        <v>931855.56</v>
      </c>
      <c r="S32" s="17">
        <f t="shared" si="13"/>
        <v>22078844.440000001</v>
      </c>
      <c r="T32" s="17">
        <f t="shared" si="13"/>
        <v>8581000</v>
      </c>
      <c r="U32" s="17">
        <f t="shared" si="13"/>
        <v>22601600</v>
      </c>
      <c r="V32" s="17">
        <f t="shared" si="13"/>
        <v>933477.78</v>
      </c>
      <c r="W32" s="17">
        <f t="shared" si="13"/>
        <v>21668122.220000003</v>
      </c>
    </row>
  </sheetData>
  <customSheetViews>
    <customSheetView guid="{F55D2626-B25D-4865-88D7-A4040A583D45}" scale="90" showPageBreaks="1" fitToPage="1" topLeftCell="E1">
      <pane ySplit="11" topLeftCell="A21" activePane="bottomLeft" state="frozen"/>
      <selection pane="bottomLeft" activeCell="L28" sqref="L28:M28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1"/>
    </customSheetView>
    <customSheetView guid="{9D6C8421-31F4-449D-B427-1D13044E970D}" scale="90" showPageBreaks="1" fitToPage="1" topLeftCell="E1">
      <pane ySplit="11" topLeftCell="A21" activePane="bottomLeft" state="frozen"/>
      <selection pane="bottomLeft" activeCell="O32" sqref="O32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2"/>
    </customSheetView>
    <customSheetView guid="{CCAC52F4-1AE6-4B0C-B39F-86F6AB8E32E1}" scale="90" showPageBreaks="1" fitToPage="1">
      <pane ySplit="11" topLeftCell="A18" activePane="bottomLeft" state="frozen"/>
      <selection pane="bottomLeft" activeCell="E15" sqref="E15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90" showPageBreaks="1" fitToPage="1">
      <pane ySplit="11" topLeftCell="A27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A27" sqref="A27:XFD27"/>
      <pageMargins left="0.17" right="0.17" top="0.35433070866141736" bottom="0.35433070866141736" header="0.31496062992125984" footer="0.31496062992125984"/>
      <pageSetup paperSize="9" scale="39" fitToHeight="2" orientation="landscape" verticalDpi="180" r:id="rId5"/>
    </customSheetView>
    <customSheetView guid="{A8921178-F68B-4A7A-94A0-4276A60BD3E0}" scale="90" showPageBreaks="1" fitToPage="1">
      <pane ySplit="11" topLeftCell="A21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H17" sqref="H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7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7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27" activePane="bottomLeft" state="frozen"/>
      <selection pane="bottomLeft" activeCell="A29" sqref="A29:XFD2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70" showPageBreaks="1" fitToPage="1">
      <pane ySplit="11" topLeftCell="A21" activePane="bottomLeft" state="frozen"/>
      <selection pane="bottomLeft" activeCell="F23" sqref="F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70" showPageBreaks="1" fitToPage="1">
      <pane ySplit="11" topLeftCell="A21" activePane="bottomLeft" state="frozen"/>
      <selection pane="bottomLeft" activeCell="J28" sqref="J2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21" activePane="bottomLeft" state="frozen"/>
      <selection pane="bottomLeft" activeCell="A27" sqref="A27:XFD2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4" activePane="bottomRight" state="frozen"/>
      <selection pane="bottomRight" activeCell="C6" sqref="C6:F10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16"/>
    </customSheetView>
  </customSheetViews>
  <mergeCells count="34">
    <mergeCell ref="C6:F6"/>
    <mergeCell ref="C7:D9"/>
    <mergeCell ref="E7:F9"/>
    <mergeCell ref="G6:G10"/>
    <mergeCell ref="N6:N10"/>
    <mergeCell ref="K9:K10"/>
    <mergeCell ref="M8:M10"/>
    <mergeCell ref="O6:O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L8:L10"/>
    <mergeCell ref="V8:W8"/>
    <mergeCell ref="J9:J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Q8:Q10"/>
    <mergeCell ref="U8:U10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X83"/>
  <sheetViews>
    <sheetView zoomScale="90" zoomScaleNormal="90" workbookViewId="0">
      <pane ySplit="11" topLeftCell="A64" activePane="bottomLeft" state="frozen"/>
      <selection activeCell="H14" sqref="H14"/>
      <selection pane="bottomLeft" activeCell="A79" sqref="A79:XFD79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5.140625" style="2" customWidth="1"/>
    <col min="12" max="12" width="41.5703125" style="7" customWidth="1"/>
    <col min="13" max="14" width="21" style="7" customWidth="1"/>
    <col min="15" max="16" width="19.5703125" style="2" customWidth="1"/>
    <col min="17" max="17" width="19.85546875" style="2" customWidth="1"/>
    <col min="18" max="20" width="19.5703125" style="2" customWidth="1"/>
    <col min="21" max="21" width="22.85546875" style="2" customWidth="1"/>
    <col min="22" max="22" width="19.5703125" style="2" customWidth="1"/>
    <col min="23" max="24" width="9.140625" style="19"/>
    <col min="25" max="16384" width="9.140625" style="2"/>
  </cols>
  <sheetData>
    <row r="2" spans="1:22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</row>
    <row r="3" spans="1:22" ht="6" customHeight="1" x14ac:dyDescent="0.3"/>
    <row r="4" spans="1:22" s="19" customFormat="1" ht="42.75" customHeight="1" x14ac:dyDescent="0.25">
      <c r="A4" s="332" t="s">
        <v>60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</row>
    <row r="5" spans="1:22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</row>
    <row r="6" spans="1:22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92" t="s">
        <v>21</v>
      </c>
      <c r="H6" s="293"/>
      <c r="I6" s="293"/>
      <c r="J6" s="293"/>
      <c r="K6" s="293"/>
      <c r="L6" s="294"/>
      <c r="M6" s="285" t="s">
        <v>447</v>
      </c>
      <c r="N6" s="285" t="s">
        <v>448</v>
      </c>
      <c r="O6" s="277" t="s">
        <v>22</v>
      </c>
      <c r="P6" s="277"/>
      <c r="Q6" s="277"/>
      <c r="R6" s="277"/>
      <c r="S6" s="277" t="s">
        <v>41</v>
      </c>
      <c r="T6" s="277"/>
      <c r="U6" s="277"/>
      <c r="V6" s="277"/>
    </row>
    <row r="7" spans="1:22" s="19" customFormat="1" ht="57.7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83" t="s">
        <v>8</v>
      </c>
      <c r="H7" s="282" t="s">
        <v>23</v>
      </c>
      <c r="I7" s="295"/>
      <c r="J7" s="283"/>
      <c r="K7" s="271" t="s">
        <v>24</v>
      </c>
      <c r="L7" s="271"/>
      <c r="M7" s="286"/>
      <c r="N7" s="286"/>
      <c r="O7" s="271" t="s">
        <v>8</v>
      </c>
      <c r="P7" s="274" t="s">
        <v>23</v>
      </c>
      <c r="Q7" s="275"/>
      <c r="R7" s="275"/>
      <c r="S7" s="271" t="s">
        <v>8</v>
      </c>
      <c r="T7" s="276" t="s">
        <v>23</v>
      </c>
      <c r="U7" s="276"/>
      <c r="V7" s="276"/>
    </row>
    <row r="8" spans="1:22" s="19" customFormat="1" ht="18.75" customHeight="1" x14ac:dyDescent="0.25">
      <c r="A8" s="270"/>
      <c r="B8" s="271"/>
      <c r="C8" s="271"/>
      <c r="D8" s="271"/>
      <c r="E8" s="298"/>
      <c r="F8" s="299"/>
      <c r="G8" s="283"/>
      <c r="H8" s="271" t="s">
        <v>15</v>
      </c>
      <c r="I8" s="276" t="s">
        <v>16</v>
      </c>
      <c r="J8" s="276"/>
      <c r="K8" s="288" t="s">
        <v>9</v>
      </c>
      <c r="L8" s="272" t="s">
        <v>20</v>
      </c>
      <c r="M8" s="286"/>
      <c r="N8" s="286"/>
      <c r="O8" s="271"/>
      <c r="P8" s="271" t="s">
        <v>15</v>
      </c>
      <c r="Q8" s="276" t="s">
        <v>16</v>
      </c>
      <c r="R8" s="276"/>
      <c r="S8" s="271"/>
      <c r="T8" s="271" t="s">
        <v>15</v>
      </c>
      <c r="U8" s="276" t="s">
        <v>16</v>
      </c>
      <c r="V8" s="276"/>
    </row>
    <row r="9" spans="1:22" s="19" customFormat="1" ht="15.75" customHeight="1" x14ac:dyDescent="0.25">
      <c r="A9" s="270"/>
      <c r="B9" s="271"/>
      <c r="C9" s="271"/>
      <c r="D9" s="271"/>
      <c r="E9" s="298"/>
      <c r="F9" s="299"/>
      <c r="G9" s="283"/>
      <c r="H9" s="271"/>
      <c r="I9" s="271" t="s">
        <v>17</v>
      </c>
      <c r="J9" s="272" t="s">
        <v>18</v>
      </c>
      <c r="K9" s="289"/>
      <c r="L9" s="284"/>
      <c r="M9" s="286"/>
      <c r="N9" s="286"/>
      <c r="O9" s="271"/>
      <c r="P9" s="271"/>
      <c r="Q9" s="271" t="s">
        <v>17</v>
      </c>
      <c r="R9" s="272" t="s">
        <v>18</v>
      </c>
      <c r="S9" s="271"/>
      <c r="T9" s="271"/>
      <c r="U9" s="271" t="s">
        <v>17</v>
      </c>
      <c r="V9" s="272" t="s">
        <v>18</v>
      </c>
    </row>
    <row r="10" spans="1:22" s="19" customFormat="1" ht="74.2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83"/>
      <c r="H10" s="271"/>
      <c r="I10" s="271"/>
      <c r="J10" s="273"/>
      <c r="K10" s="290"/>
      <c r="L10" s="273"/>
      <c r="M10" s="287"/>
      <c r="N10" s="287"/>
      <c r="O10" s="271"/>
      <c r="P10" s="271"/>
      <c r="Q10" s="271"/>
      <c r="R10" s="273"/>
      <c r="S10" s="271"/>
      <c r="T10" s="271"/>
      <c r="U10" s="271"/>
      <c r="V10" s="273"/>
    </row>
    <row r="11" spans="1:22" s="245" customFormat="1" ht="16.5" customHeight="1" x14ac:dyDescent="0.3">
      <c r="A11" s="233">
        <v>1</v>
      </c>
      <c r="B11" s="238">
        <v>2</v>
      </c>
      <c r="C11" s="238"/>
      <c r="D11" s="238"/>
      <c r="E11" s="238"/>
      <c r="F11" s="238"/>
      <c r="G11" s="244">
        <v>3</v>
      </c>
      <c r="H11" s="233">
        <v>4</v>
      </c>
      <c r="I11" s="238">
        <v>5</v>
      </c>
      <c r="J11" s="244">
        <v>6</v>
      </c>
      <c r="K11" s="238">
        <v>7</v>
      </c>
      <c r="L11" s="244">
        <v>8</v>
      </c>
      <c r="M11" s="249"/>
      <c r="N11" s="249"/>
      <c r="O11" s="244">
        <v>9</v>
      </c>
      <c r="P11" s="233">
        <v>10</v>
      </c>
      <c r="Q11" s="238">
        <v>11</v>
      </c>
      <c r="R11" s="244">
        <v>12</v>
      </c>
      <c r="S11" s="244">
        <v>13</v>
      </c>
      <c r="T11" s="233">
        <v>14</v>
      </c>
      <c r="U11" s="238">
        <v>15</v>
      </c>
      <c r="V11" s="244">
        <v>16</v>
      </c>
    </row>
    <row r="12" spans="1:22" ht="57" x14ac:dyDescent="0.25">
      <c r="A12" s="234">
        <v>1</v>
      </c>
      <c r="B12" s="44" t="s">
        <v>345</v>
      </c>
      <c r="C12" s="54">
        <f>C13+C14</f>
        <v>60400</v>
      </c>
      <c r="D12" s="54">
        <f>D13+D14</f>
        <v>51350</v>
      </c>
      <c r="E12" s="54">
        <f>E13+E14</f>
        <v>51144</v>
      </c>
      <c r="F12" s="54">
        <f>F13+F14</f>
        <v>37986</v>
      </c>
      <c r="G12" s="45">
        <f>SUM(G13:G13:G14)</f>
        <v>53300</v>
      </c>
      <c r="H12" s="77">
        <f>I12+J12</f>
        <v>131700</v>
      </c>
      <c r="I12" s="45">
        <f>I13+I14</f>
        <v>13325</v>
      </c>
      <c r="J12" s="45">
        <f>J13+J14</f>
        <v>118375</v>
      </c>
      <c r="K12" s="50"/>
      <c r="L12" s="65"/>
      <c r="M12" s="78"/>
      <c r="N12" s="78"/>
      <c r="O12" s="45">
        <f>SUM(O13:O14)</f>
        <v>54900</v>
      </c>
      <c r="P12" s="77">
        <f>Q12+R12</f>
        <v>13725</v>
      </c>
      <c r="Q12" s="45">
        <f>SUM(Q13:Q14)</f>
        <v>13725</v>
      </c>
      <c r="R12" s="45">
        <f>SUM(R13:R14)</f>
        <v>0</v>
      </c>
      <c r="S12" s="45">
        <f>SUM(S13:S14)</f>
        <v>54800</v>
      </c>
      <c r="T12" s="77">
        <f>U12+V12</f>
        <v>13700</v>
      </c>
      <c r="U12" s="45">
        <f>SUM(U13:U14)</f>
        <v>13700</v>
      </c>
      <c r="V12" s="45">
        <f>SUM(V13:V14)</f>
        <v>0</v>
      </c>
    </row>
    <row r="13" spans="1:22" x14ac:dyDescent="0.25">
      <c r="A13" s="233">
        <v>1</v>
      </c>
      <c r="B13" s="39" t="s">
        <v>393</v>
      </c>
      <c r="C13" s="79">
        <v>9400</v>
      </c>
      <c r="D13" s="79">
        <v>2350</v>
      </c>
      <c r="E13" s="79">
        <v>9400</v>
      </c>
      <c r="F13" s="79">
        <v>0</v>
      </c>
      <c r="G13" s="8">
        <v>9400</v>
      </c>
      <c r="H13" s="23">
        <f>I13+J13</f>
        <v>2350</v>
      </c>
      <c r="I13" s="8">
        <v>2350</v>
      </c>
      <c r="J13" s="8">
        <v>0</v>
      </c>
      <c r="K13" s="4"/>
      <c r="L13" s="65"/>
      <c r="M13" s="78"/>
      <c r="N13" s="78"/>
      <c r="O13" s="8">
        <v>9400</v>
      </c>
      <c r="P13" s="23">
        <f>Q13+R13</f>
        <v>2350</v>
      </c>
      <c r="Q13" s="8">
        <v>2350</v>
      </c>
      <c r="R13" s="8">
        <v>0</v>
      </c>
      <c r="S13" s="8">
        <v>9400</v>
      </c>
      <c r="T13" s="23">
        <f>U13+V13</f>
        <v>2350</v>
      </c>
      <c r="U13" s="8">
        <v>2350</v>
      </c>
      <c r="V13" s="8">
        <v>0</v>
      </c>
    </row>
    <row r="14" spans="1:22" ht="30" x14ac:dyDescent="0.25">
      <c r="A14" s="233">
        <v>2</v>
      </c>
      <c r="B14" s="39" t="s">
        <v>394</v>
      </c>
      <c r="C14" s="79">
        <v>51000</v>
      </c>
      <c r="D14" s="79">
        <v>49000</v>
      </c>
      <c r="E14" s="79">
        <v>41744</v>
      </c>
      <c r="F14" s="79">
        <v>37986</v>
      </c>
      <c r="G14" s="8">
        <f>51600-7700</f>
        <v>43900</v>
      </c>
      <c r="H14" s="23">
        <f>I14+J14</f>
        <v>129350</v>
      </c>
      <c r="I14" s="8">
        <v>10975</v>
      </c>
      <c r="J14" s="8">
        <f>117425+600+350</f>
        <v>118375</v>
      </c>
      <c r="K14" s="4"/>
      <c r="L14" s="65"/>
      <c r="M14" s="78"/>
      <c r="N14" s="78"/>
      <c r="O14" s="8">
        <v>45500</v>
      </c>
      <c r="P14" s="23">
        <f>Q14+R14</f>
        <v>11375</v>
      </c>
      <c r="Q14" s="8">
        <v>11375</v>
      </c>
      <c r="R14" s="8">
        <v>0</v>
      </c>
      <c r="S14" s="8">
        <v>45400</v>
      </c>
      <c r="T14" s="23">
        <f>U14+V14</f>
        <v>11350</v>
      </c>
      <c r="U14" s="8">
        <v>11350</v>
      </c>
      <c r="V14" s="8">
        <v>0</v>
      </c>
    </row>
    <row r="15" spans="1:22" ht="57" x14ac:dyDescent="0.25">
      <c r="A15" s="234">
        <v>2</v>
      </c>
      <c r="B15" s="44" t="s">
        <v>307</v>
      </c>
      <c r="C15" s="54">
        <f>C16</f>
        <v>123200</v>
      </c>
      <c r="D15" s="54">
        <f>D16</f>
        <v>171696</v>
      </c>
      <c r="E15" s="54">
        <f>E16</f>
        <v>0</v>
      </c>
      <c r="F15" s="54">
        <f>F16</f>
        <v>116896</v>
      </c>
      <c r="G15" s="45">
        <v>460000</v>
      </c>
      <c r="H15" s="77">
        <f>I15+J15</f>
        <v>115000</v>
      </c>
      <c r="I15" s="45">
        <v>115000</v>
      </c>
      <c r="J15" s="45">
        <v>0</v>
      </c>
      <c r="K15" s="45"/>
      <c r="L15" s="65"/>
      <c r="M15" s="78"/>
      <c r="N15" s="78"/>
      <c r="O15" s="54"/>
      <c r="P15" s="6"/>
      <c r="Q15" s="50"/>
      <c r="R15" s="54"/>
      <c r="S15" s="45">
        <v>440000</v>
      </c>
      <c r="T15" s="77">
        <f>U15+V15</f>
        <v>110000</v>
      </c>
      <c r="U15" s="45">
        <v>110000</v>
      </c>
      <c r="V15" s="45">
        <v>0</v>
      </c>
    </row>
    <row r="16" spans="1:22" ht="14.45" x14ac:dyDescent="0.3">
      <c r="A16" s="233"/>
      <c r="B16" s="13"/>
      <c r="C16" s="5">
        <v>123200</v>
      </c>
      <c r="D16" s="5">
        <v>171696</v>
      </c>
      <c r="E16" s="5">
        <v>0</v>
      </c>
      <c r="F16" s="5">
        <v>116896</v>
      </c>
      <c r="G16" s="8"/>
      <c r="H16" s="23"/>
      <c r="I16" s="8"/>
      <c r="J16" s="8"/>
      <c r="K16" s="4"/>
      <c r="L16" s="65"/>
      <c r="M16" s="78"/>
      <c r="N16" s="78"/>
      <c r="O16" s="5"/>
      <c r="P16" s="3"/>
      <c r="Q16" s="4"/>
      <c r="R16" s="5"/>
      <c r="S16" s="5"/>
      <c r="T16" s="3"/>
      <c r="U16" s="4"/>
      <c r="V16" s="5"/>
    </row>
    <row r="17" spans="1:22" ht="28.5" x14ac:dyDescent="0.25">
      <c r="A17" s="234">
        <v>3</v>
      </c>
      <c r="B17" s="44" t="s">
        <v>308</v>
      </c>
      <c r="C17" s="54">
        <f>C18+C19+C20</f>
        <v>0</v>
      </c>
      <c r="D17" s="54">
        <f>D18+D19+D20</f>
        <v>34292.720000000001</v>
      </c>
      <c r="E17" s="54">
        <f>E18+E19+E20</f>
        <v>0</v>
      </c>
      <c r="F17" s="54">
        <f>F18+F19+F20</f>
        <v>34292.720000000001</v>
      </c>
      <c r="G17" s="8"/>
      <c r="H17" s="77">
        <f t="shared" ref="H17:H24" si="0">I17+J17</f>
        <v>52894.16</v>
      </c>
      <c r="I17" s="45">
        <f>SUM(I18:I20)</f>
        <v>0</v>
      </c>
      <c r="J17" s="45">
        <f>SUM(J18:J20)</f>
        <v>52894.16</v>
      </c>
      <c r="K17" s="45">
        <f>SUM(K18:K20)</f>
        <v>297281.48</v>
      </c>
      <c r="L17" s="65"/>
      <c r="M17" s="78"/>
      <c r="N17" s="78"/>
      <c r="O17" s="54"/>
      <c r="P17" s="77">
        <f>Q17+R17</f>
        <v>70894.16</v>
      </c>
      <c r="Q17" s="45">
        <f>SUM(Q18:Q20)</f>
        <v>0</v>
      </c>
      <c r="R17" s="45">
        <f>SUM(R18:R20)</f>
        <v>70894.16</v>
      </c>
      <c r="S17" s="54"/>
      <c r="T17" s="77">
        <f>U17+V17</f>
        <v>70894.16</v>
      </c>
      <c r="U17" s="45">
        <f>SUM(U18:U20)</f>
        <v>0</v>
      </c>
      <c r="V17" s="45">
        <f>SUM(V18:V20)</f>
        <v>70894.16</v>
      </c>
    </row>
    <row r="18" spans="1:22" ht="45" x14ac:dyDescent="0.25">
      <c r="A18" s="233">
        <v>1</v>
      </c>
      <c r="B18" s="65" t="s">
        <v>309</v>
      </c>
      <c r="C18" s="79"/>
      <c r="D18" s="79">
        <v>34292.720000000001</v>
      </c>
      <c r="E18" s="79"/>
      <c r="F18" s="79">
        <v>34292.720000000001</v>
      </c>
      <c r="G18" s="8"/>
      <c r="H18" s="23">
        <f t="shared" si="0"/>
        <v>52894.16</v>
      </c>
      <c r="I18" s="8"/>
      <c r="J18" s="8">
        <v>52894.16</v>
      </c>
      <c r="K18" s="4"/>
      <c r="L18" s="38"/>
      <c r="M18" s="36"/>
      <c r="N18" s="36"/>
      <c r="O18" s="5"/>
      <c r="P18" s="8">
        <f>Q18+R18</f>
        <v>52894.16</v>
      </c>
      <c r="Q18" s="4"/>
      <c r="R18" s="8">
        <v>52894.16</v>
      </c>
      <c r="S18" s="5"/>
      <c r="T18" s="8">
        <f>U18+V18</f>
        <v>52894.16</v>
      </c>
      <c r="U18" s="4"/>
      <c r="V18" s="8">
        <v>52894.16</v>
      </c>
    </row>
    <row r="19" spans="1:22" ht="60" x14ac:dyDescent="0.25">
      <c r="A19" s="233">
        <v>2</v>
      </c>
      <c r="B19" s="14"/>
      <c r="C19" s="80"/>
      <c r="D19" s="80"/>
      <c r="E19" s="80"/>
      <c r="F19" s="80"/>
      <c r="G19" s="8"/>
      <c r="H19" s="23">
        <f t="shared" si="0"/>
        <v>0</v>
      </c>
      <c r="I19" s="8"/>
      <c r="J19" s="8"/>
      <c r="K19" s="8">
        <v>279281.48</v>
      </c>
      <c r="L19" s="65" t="s">
        <v>310</v>
      </c>
      <c r="M19" s="78"/>
      <c r="N19" s="78"/>
      <c r="O19" s="5"/>
      <c r="P19" s="8">
        <f t="shared" ref="P19:P20" si="1">Q19+R19</f>
        <v>0</v>
      </c>
      <c r="Q19" s="4"/>
      <c r="R19" s="8">
        <v>0</v>
      </c>
      <c r="S19" s="5"/>
      <c r="T19" s="8">
        <f t="shared" ref="T19:T20" si="2">U19+V19</f>
        <v>0</v>
      </c>
      <c r="U19" s="4"/>
      <c r="V19" s="8">
        <v>0</v>
      </c>
    </row>
    <row r="20" spans="1:22" ht="45" x14ac:dyDescent="0.25">
      <c r="A20" s="233">
        <v>3</v>
      </c>
      <c r="B20" s="14"/>
      <c r="C20" s="80"/>
      <c r="D20" s="80"/>
      <c r="E20" s="80"/>
      <c r="F20" s="80"/>
      <c r="G20" s="8"/>
      <c r="H20" s="23">
        <f t="shared" si="0"/>
        <v>0</v>
      </c>
      <c r="I20" s="8"/>
      <c r="J20" s="8"/>
      <c r="K20" s="8">
        <v>18000</v>
      </c>
      <c r="L20" s="65" t="s">
        <v>311</v>
      </c>
      <c r="M20" s="78"/>
      <c r="N20" s="78"/>
      <c r="O20" s="5"/>
      <c r="P20" s="8">
        <f t="shared" si="1"/>
        <v>18000</v>
      </c>
      <c r="Q20" s="4"/>
      <c r="R20" s="8">
        <v>18000</v>
      </c>
      <c r="S20" s="5"/>
      <c r="T20" s="8">
        <f t="shared" si="2"/>
        <v>18000</v>
      </c>
      <c r="U20" s="4"/>
      <c r="V20" s="8">
        <v>18000</v>
      </c>
    </row>
    <row r="21" spans="1:22" ht="42.75" x14ac:dyDescent="0.25">
      <c r="A21" s="234">
        <v>4</v>
      </c>
      <c r="B21" s="44" t="s">
        <v>312</v>
      </c>
      <c r="C21" s="54">
        <f>C22+C23+C24</f>
        <v>0</v>
      </c>
      <c r="D21" s="54">
        <f>D22+D23+D24</f>
        <v>0</v>
      </c>
      <c r="E21" s="54">
        <f>E22+E23+E24</f>
        <v>0</v>
      </c>
      <c r="F21" s="54">
        <f>F22+F23+F24</f>
        <v>0</v>
      </c>
      <c r="G21" s="8"/>
      <c r="H21" s="77">
        <f t="shared" si="0"/>
        <v>376693.67</v>
      </c>
      <c r="I21" s="45"/>
      <c r="J21" s="45">
        <f>J22+J23</f>
        <v>376693.67</v>
      </c>
      <c r="K21" s="45">
        <f>K22+K23+K24</f>
        <v>381989.72899999999</v>
      </c>
      <c r="L21" s="65"/>
      <c r="M21" s="78"/>
      <c r="N21" s="78"/>
      <c r="O21" s="54"/>
      <c r="P21" s="77">
        <f>Q21+R21</f>
        <v>53238.998999999996</v>
      </c>
      <c r="Q21" s="45">
        <f>SUM(Q22:Q24)</f>
        <v>0</v>
      </c>
      <c r="R21" s="45">
        <f>SUM(R22:R24)</f>
        <v>53238.998999999996</v>
      </c>
      <c r="S21" s="54"/>
      <c r="T21" s="77">
        <f>U21+V21</f>
        <v>53238.998999999996</v>
      </c>
      <c r="U21" s="45">
        <f>SUM(U22:U24)</f>
        <v>0</v>
      </c>
      <c r="V21" s="45">
        <f>SUM(V22:V24)</f>
        <v>53238.998999999996</v>
      </c>
    </row>
    <row r="22" spans="1:22" ht="75" x14ac:dyDescent="0.25">
      <c r="A22" s="233">
        <v>1</v>
      </c>
      <c r="B22" s="13"/>
      <c r="C22" s="5"/>
      <c r="D22" s="5"/>
      <c r="E22" s="5"/>
      <c r="F22" s="5"/>
      <c r="G22" s="8"/>
      <c r="H22" s="23">
        <f t="shared" si="0"/>
        <v>376693.67</v>
      </c>
      <c r="I22" s="8"/>
      <c r="J22" s="8">
        <v>376693.67</v>
      </c>
      <c r="K22" s="8">
        <f>143750.73+100000+85000</f>
        <v>328750.73</v>
      </c>
      <c r="L22" s="65" t="s">
        <v>313</v>
      </c>
      <c r="M22" s="78"/>
      <c r="N22" s="78"/>
      <c r="O22" s="5"/>
      <c r="P22" s="23">
        <f>Q22+R22</f>
        <v>0</v>
      </c>
      <c r="Q22" s="4"/>
      <c r="R22" s="8">
        <v>0</v>
      </c>
      <c r="S22" s="5"/>
      <c r="T22" s="23">
        <f>U22+V22</f>
        <v>0</v>
      </c>
      <c r="U22" s="4"/>
      <c r="V22" s="8">
        <v>0</v>
      </c>
    </row>
    <row r="23" spans="1:22" ht="30" x14ac:dyDescent="0.25">
      <c r="A23" s="233">
        <v>2</v>
      </c>
      <c r="B23" s="13"/>
      <c r="C23" s="5"/>
      <c r="D23" s="5"/>
      <c r="E23" s="5"/>
      <c r="F23" s="5"/>
      <c r="G23" s="8"/>
      <c r="H23" s="23">
        <f t="shared" si="0"/>
        <v>0</v>
      </c>
      <c r="I23" s="8"/>
      <c r="J23" s="8"/>
      <c r="K23" s="8">
        <v>21000</v>
      </c>
      <c r="L23" s="65" t="s">
        <v>314</v>
      </c>
      <c r="M23" s="78"/>
      <c r="N23" s="78"/>
      <c r="O23" s="5"/>
      <c r="P23" s="23">
        <f>Q23+R23</f>
        <v>21000</v>
      </c>
      <c r="Q23" s="4"/>
      <c r="R23" s="8">
        <v>21000</v>
      </c>
      <c r="S23" s="5"/>
      <c r="T23" s="23">
        <f>U23+V23</f>
        <v>21000</v>
      </c>
      <c r="U23" s="4"/>
      <c r="V23" s="8">
        <v>21000</v>
      </c>
    </row>
    <row r="24" spans="1:22" ht="90" x14ac:dyDescent="0.25">
      <c r="A24" s="233">
        <v>3</v>
      </c>
      <c r="B24" s="13"/>
      <c r="C24" s="5"/>
      <c r="D24" s="5"/>
      <c r="E24" s="5"/>
      <c r="F24" s="5"/>
      <c r="G24" s="8"/>
      <c r="H24" s="23">
        <f t="shared" si="0"/>
        <v>0</v>
      </c>
      <c r="I24" s="8"/>
      <c r="J24" s="8"/>
      <c r="K24" s="8">
        <v>32238.998999999996</v>
      </c>
      <c r="L24" s="65" t="s">
        <v>315</v>
      </c>
      <c r="M24" s="78"/>
      <c r="N24" s="78"/>
      <c r="O24" s="5"/>
      <c r="P24" s="23">
        <f>Q24+R24</f>
        <v>32238.998999999996</v>
      </c>
      <c r="Q24" s="4"/>
      <c r="R24" s="8">
        <v>32238.998999999996</v>
      </c>
      <c r="S24" s="5"/>
      <c r="T24" s="23">
        <f>U24+V24</f>
        <v>32238.998999999996</v>
      </c>
      <c r="U24" s="4"/>
      <c r="V24" s="8">
        <v>32238.998999999996</v>
      </c>
    </row>
    <row r="25" spans="1:22" ht="130.5" customHeight="1" x14ac:dyDescent="0.25">
      <c r="A25" s="234">
        <v>5</v>
      </c>
      <c r="B25" s="44" t="s">
        <v>316</v>
      </c>
      <c r="C25" s="54">
        <f>C26</f>
        <v>0</v>
      </c>
      <c r="D25" s="54">
        <f>D26</f>
        <v>0</v>
      </c>
      <c r="E25" s="54">
        <f>E26</f>
        <v>0</v>
      </c>
      <c r="F25" s="54">
        <f>F26</f>
        <v>0</v>
      </c>
      <c r="G25" s="8"/>
      <c r="H25" s="77">
        <f>I25+J25</f>
        <v>60000</v>
      </c>
      <c r="I25" s="45"/>
      <c r="J25" s="45">
        <v>60000</v>
      </c>
      <c r="K25" s="45">
        <v>242210</v>
      </c>
      <c r="L25" s="65" t="s">
        <v>317</v>
      </c>
      <c r="M25" s="78"/>
      <c r="N25" s="78"/>
      <c r="O25" s="54"/>
      <c r="P25" s="45">
        <f>Q25+R25</f>
        <v>302210</v>
      </c>
      <c r="Q25" s="45">
        <f>SUM(Q26:Q28)</f>
        <v>0</v>
      </c>
      <c r="R25" s="45">
        <v>302210</v>
      </c>
      <c r="S25" s="54"/>
      <c r="T25" s="45">
        <f>U25+V25</f>
        <v>302210</v>
      </c>
      <c r="U25" s="45">
        <f>SUM(U26:U28)</f>
        <v>0</v>
      </c>
      <c r="V25" s="45">
        <v>302210</v>
      </c>
    </row>
    <row r="26" spans="1:22" ht="14.45" x14ac:dyDescent="0.3">
      <c r="A26" s="233"/>
      <c r="B26" s="35"/>
      <c r="C26" s="81"/>
      <c r="D26" s="81"/>
      <c r="E26" s="81"/>
      <c r="F26" s="81"/>
      <c r="G26" s="8"/>
      <c r="H26" s="23"/>
      <c r="I26" s="8"/>
      <c r="J26" s="8"/>
      <c r="K26" s="63"/>
      <c r="L26" s="65"/>
      <c r="M26" s="78"/>
      <c r="N26" s="78"/>
      <c r="O26" s="5"/>
      <c r="P26" s="3"/>
      <c r="Q26" s="4"/>
      <c r="R26" s="5"/>
      <c r="S26" s="5"/>
      <c r="T26" s="3"/>
      <c r="U26" s="4"/>
      <c r="V26" s="5"/>
    </row>
    <row r="27" spans="1:22" ht="44.25" customHeight="1" x14ac:dyDescent="0.25">
      <c r="A27" s="234">
        <v>6</v>
      </c>
      <c r="B27" s="44" t="s">
        <v>457</v>
      </c>
      <c r="C27" s="54">
        <f>C28+C29+C30+C31</f>
        <v>0</v>
      </c>
      <c r="D27" s="54">
        <f>D28+D29+D30+D31</f>
        <v>6451.24</v>
      </c>
      <c r="E27" s="54">
        <f>E28+E29+E30+E31</f>
        <v>0</v>
      </c>
      <c r="F27" s="54">
        <f>F28+F29+F30+F31</f>
        <v>329</v>
      </c>
      <c r="G27" s="8"/>
      <c r="H27" s="77">
        <f>I27+J27</f>
        <v>0</v>
      </c>
      <c r="I27" s="45"/>
      <c r="J27" s="45"/>
      <c r="K27" s="82">
        <f>SUM(K28:K31)</f>
        <v>129192.59969999999</v>
      </c>
      <c r="L27" s="65"/>
      <c r="M27" s="78"/>
      <c r="N27" s="78"/>
      <c r="O27" s="54"/>
      <c r="P27" s="45">
        <f>Q27+R27</f>
        <v>129192.59969999999</v>
      </c>
      <c r="Q27" s="83">
        <f>SUM(Q28:Q31)</f>
        <v>0</v>
      </c>
      <c r="R27" s="83">
        <f>SUM(R28:R31)</f>
        <v>129192.59969999999</v>
      </c>
      <c r="S27" s="54"/>
      <c r="T27" s="82">
        <f>U27+V27</f>
        <v>129192.59969999999</v>
      </c>
      <c r="U27" s="50">
        <f>SUM(U28:U31)</f>
        <v>0</v>
      </c>
      <c r="V27" s="82">
        <f>SUM(V28:V31)</f>
        <v>129192.59969999999</v>
      </c>
    </row>
    <row r="28" spans="1:22" ht="90" x14ac:dyDescent="0.25">
      <c r="A28" s="233">
        <v>1</v>
      </c>
      <c r="B28" s="84" t="s">
        <v>319</v>
      </c>
      <c r="C28" s="5"/>
      <c r="D28" s="5">
        <v>6451.24</v>
      </c>
      <c r="E28" s="5"/>
      <c r="F28" s="5">
        <v>329</v>
      </c>
      <c r="G28" s="8"/>
      <c r="H28" s="23">
        <f>I28+J28</f>
        <v>0</v>
      </c>
      <c r="I28" s="8"/>
      <c r="J28" s="8"/>
      <c r="K28" s="23">
        <v>76100</v>
      </c>
      <c r="L28" s="65" t="s">
        <v>318</v>
      </c>
      <c r="M28" s="78"/>
      <c r="N28" s="78"/>
      <c r="O28" s="5"/>
      <c r="P28" s="3"/>
      <c r="Q28" s="4"/>
      <c r="R28" s="23">
        <v>76100</v>
      </c>
      <c r="S28" s="5"/>
      <c r="T28" s="3"/>
      <c r="U28" s="4"/>
      <c r="V28" s="23">
        <v>76100</v>
      </c>
    </row>
    <row r="29" spans="1:22" ht="30" x14ac:dyDescent="0.25">
      <c r="A29" s="233">
        <v>2</v>
      </c>
      <c r="B29" s="13"/>
      <c r="C29" s="5"/>
      <c r="D29" s="5"/>
      <c r="E29" s="5"/>
      <c r="F29" s="5"/>
      <c r="G29" s="8"/>
      <c r="H29" s="23">
        <f t="shared" ref="H29:H31" si="3">I29+J29</f>
        <v>0</v>
      </c>
      <c r="I29" s="8"/>
      <c r="J29" s="8"/>
      <c r="K29" s="23">
        <v>7200</v>
      </c>
      <c r="L29" s="65" t="s">
        <v>319</v>
      </c>
      <c r="M29" s="78"/>
      <c r="N29" s="78"/>
      <c r="O29" s="5"/>
      <c r="P29" s="3"/>
      <c r="Q29" s="4"/>
      <c r="R29" s="23">
        <v>7200</v>
      </c>
      <c r="S29" s="5"/>
      <c r="T29" s="3"/>
      <c r="U29" s="4"/>
      <c r="V29" s="23">
        <v>7200</v>
      </c>
    </row>
    <row r="30" spans="1:22" ht="102" customHeight="1" x14ac:dyDescent="0.25">
      <c r="A30" s="233">
        <v>3</v>
      </c>
      <c r="B30" s="13"/>
      <c r="C30" s="5"/>
      <c r="D30" s="5"/>
      <c r="E30" s="5"/>
      <c r="F30" s="5"/>
      <c r="G30" s="8"/>
      <c r="H30" s="23">
        <f t="shared" si="3"/>
        <v>0</v>
      </c>
      <c r="I30" s="8"/>
      <c r="J30" s="8"/>
      <c r="K30" s="23">
        <v>5400</v>
      </c>
      <c r="L30" s="65" t="s">
        <v>320</v>
      </c>
      <c r="M30" s="78"/>
      <c r="N30" s="78"/>
      <c r="O30" s="5"/>
      <c r="P30" s="3"/>
      <c r="Q30" s="4"/>
      <c r="R30" s="23">
        <v>5400</v>
      </c>
      <c r="S30" s="5"/>
      <c r="T30" s="3"/>
      <c r="U30" s="4"/>
      <c r="V30" s="23">
        <v>5400</v>
      </c>
    </row>
    <row r="31" spans="1:22" ht="45" x14ac:dyDescent="0.25">
      <c r="A31" s="233">
        <v>4</v>
      </c>
      <c r="B31" s="13"/>
      <c r="C31" s="5"/>
      <c r="D31" s="5"/>
      <c r="E31" s="5"/>
      <c r="F31" s="5"/>
      <c r="G31" s="8"/>
      <c r="H31" s="23">
        <f t="shared" si="3"/>
        <v>0</v>
      </c>
      <c r="I31" s="8"/>
      <c r="J31" s="8"/>
      <c r="K31" s="23">
        <v>40492.599699999999</v>
      </c>
      <c r="L31" s="65" t="s">
        <v>321</v>
      </c>
      <c r="M31" s="78"/>
      <c r="N31" s="78"/>
      <c r="O31" s="5"/>
      <c r="P31" s="3"/>
      <c r="Q31" s="4"/>
      <c r="R31" s="23">
        <v>40492.599699999999</v>
      </c>
      <c r="S31" s="5"/>
      <c r="T31" s="3"/>
      <c r="U31" s="4"/>
      <c r="V31" s="23">
        <v>40492.599699999999</v>
      </c>
    </row>
    <row r="32" spans="1:22" ht="28.5" x14ac:dyDescent="0.25">
      <c r="A32" s="234">
        <v>7</v>
      </c>
      <c r="B32" s="44" t="s">
        <v>458</v>
      </c>
      <c r="C32" s="54">
        <f>C33+C34+C35+C36</f>
        <v>0</v>
      </c>
      <c r="D32" s="54">
        <f>D33+D34+D35+D36</f>
        <v>41470</v>
      </c>
      <c r="E32" s="54">
        <f>E33+E34+E35+E36</f>
        <v>0</v>
      </c>
      <c r="F32" s="54">
        <f>F33+F34+F35+F36</f>
        <v>39704.32</v>
      </c>
      <c r="G32" s="8"/>
      <c r="H32" s="77">
        <f>I32+J32</f>
        <v>125000</v>
      </c>
      <c r="I32" s="45"/>
      <c r="J32" s="85">
        <f>J33+J34+J35+J36</f>
        <v>125000</v>
      </c>
      <c r="K32" s="85">
        <f>K33+K34+K35+K36</f>
        <v>0</v>
      </c>
      <c r="L32" s="65"/>
      <c r="M32" s="78"/>
      <c r="N32" s="78"/>
      <c r="O32" s="54"/>
      <c r="P32" s="85">
        <f>Q32+R32</f>
        <v>125000</v>
      </c>
      <c r="Q32" s="83">
        <f>SUM(Q33:Q36)</f>
        <v>0</v>
      </c>
      <c r="R32" s="85">
        <f>SUM(R33:R36)</f>
        <v>125000</v>
      </c>
      <c r="S32" s="54"/>
      <c r="T32" s="85">
        <f>U32+V32</f>
        <v>125000</v>
      </c>
      <c r="U32" s="83">
        <f>SUM(U33:U36)</f>
        <v>0</v>
      </c>
      <c r="V32" s="85">
        <f>SUM(V33:V36)</f>
        <v>125000</v>
      </c>
    </row>
    <row r="33" spans="1:22" ht="60" x14ac:dyDescent="0.25">
      <c r="A33" s="233">
        <v>1</v>
      </c>
      <c r="B33" s="65" t="s">
        <v>322</v>
      </c>
      <c r="C33" s="79"/>
      <c r="D33" s="79">
        <v>29470</v>
      </c>
      <c r="E33" s="79"/>
      <c r="F33" s="79">
        <v>29470</v>
      </c>
      <c r="G33" s="8"/>
      <c r="H33" s="23">
        <f>I33+J33</f>
        <v>40000</v>
      </c>
      <c r="I33" s="8"/>
      <c r="J33" s="86">
        <v>40000</v>
      </c>
      <c r="K33" s="86"/>
      <c r="L33" s="38"/>
      <c r="M33" s="36"/>
      <c r="N33" s="36"/>
      <c r="O33" s="5"/>
      <c r="P33" s="86">
        <f>Q33+R33</f>
        <v>40000</v>
      </c>
      <c r="Q33" s="4"/>
      <c r="R33" s="86">
        <v>40000</v>
      </c>
      <c r="S33" s="5"/>
      <c r="T33" s="86">
        <f>U33+V33</f>
        <v>40000</v>
      </c>
      <c r="U33" s="4"/>
      <c r="V33" s="86">
        <v>40000</v>
      </c>
    </row>
    <row r="34" spans="1:22" ht="30" x14ac:dyDescent="0.25">
      <c r="A34" s="233">
        <v>2</v>
      </c>
      <c r="B34" s="65" t="s">
        <v>323</v>
      </c>
      <c r="C34" s="79"/>
      <c r="D34" s="79"/>
      <c r="E34" s="79"/>
      <c r="F34" s="79"/>
      <c r="G34" s="8"/>
      <c r="H34" s="23">
        <f t="shared" ref="H34:H36" si="4">I34+J34</f>
        <v>48000</v>
      </c>
      <c r="I34" s="8"/>
      <c r="J34" s="86">
        <v>48000</v>
      </c>
      <c r="K34" s="86"/>
      <c r="L34" s="38"/>
      <c r="M34" s="36"/>
      <c r="N34" s="36"/>
      <c r="O34" s="5"/>
      <c r="P34" s="86">
        <f>Q34+R34</f>
        <v>48000</v>
      </c>
      <c r="Q34" s="4"/>
      <c r="R34" s="86">
        <v>48000</v>
      </c>
      <c r="S34" s="5"/>
      <c r="T34" s="86">
        <f>U34+V34</f>
        <v>48000</v>
      </c>
      <c r="U34" s="4"/>
      <c r="V34" s="86">
        <v>48000</v>
      </c>
    </row>
    <row r="35" spans="1:22" ht="45" x14ac:dyDescent="0.25">
      <c r="A35" s="233">
        <v>3</v>
      </c>
      <c r="B35" s="65" t="s">
        <v>324</v>
      </c>
      <c r="C35" s="79"/>
      <c r="D35" s="79"/>
      <c r="E35" s="79"/>
      <c r="F35" s="79"/>
      <c r="G35" s="8"/>
      <c r="H35" s="23">
        <f t="shared" si="4"/>
        <v>25000</v>
      </c>
      <c r="I35" s="8"/>
      <c r="J35" s="86">
        <v>25000</v>
      </c>
      <c r="K35" s="86"/>
      <c r="L35" s="38"/>
      <c r="M35" s="36"/>
      <c r="N35" s="36"/>
      <c r="O35" s="5"/>
      <c r="P35" s="86">
        <f>Q35+R35</f>
        <v>25000</v>
      </c>
      <c r="Q35" s="4"/>
      <c r="R35" s="86">
        <v>25000</v>
      </c>
      <c r="S35" s="5"/>
      <c r="T35" s="86">
        <f>U35+V35</f>
        <v>25000</v>
      </c>
      <c r="U35" s="4"/>
      <c r="V35" s="86">
        <v>25000</v>
      </c>
    </row>
    <row r="36" spans="1:22" ht="30" x14ac:dyDescent="0.25">
      <c r="A36" s="233">
        <v>4</v>
      </c>
      <c r="B36" s="65" t="s">
        <v>325</v>
      </c>
      <c r="C36" s="79"/>
      <c r="D36" s="79">
        <v>12000</v>
      </c>
      <c r="E36" s="79"/>
      <c r="F36" s="79">
        <v>10234.32</v>
      </c>
      <c r="G36" s="8"/>
      <c r="H36" s="23">
        <f t="shared" si="4"/>
        <v>12000</v>
      </c>
      <c r="I36" s="8"/>
      <c r="J36" s="86">
        <v>12000</v>
      </c>
      <c r="K36" s="86"/>
      <c r="L36" s="38"/>
      <c r="M36" s="36"/>
      <c r="N36" s="36"/>
      <c r="O36" s="5"/>
      <c r="P36" s="86">
        <f>Q36+R36</f>
        <v>12000</v>
      </c>
      <c r="Q36" s="4"/>
      <c r="R36" s="86">
        <v>12000</v>
      </c>
      <c r="S36" s="5"/>
      <c r="T36" s="86">
        <f>U36+V36</f>
        <v>12000</v>
      </c>
      <c r="U36" s="4"/>
      <c r="V36" s="86">
        <v>12000</v>
      </c>
    </row>
    <row r="37" spans="1:22" ht="71.25" x14ac:dyDescent="0.25">
      <c r="A37" s="241">
        <v>8</v>
      </c>
      <c r="B37" s="87" t="s">
        <v>326</v>
      </c>
      <c r="C37" s="88">
        <f>SUM(C39:C65)</f>
        <v>0</v>
      </c>
      <c r="D37" s="88">
        <f>SUM(D39:D65)</f>
        <v>11879752.560000001</v>
      </c>
      <c r="E37" s="88">
        <f>SUM(E39:E65)</f>
        <v>0</v>
      </c>
      <c r="F37" s="88">
        <f>SUM(F39:F65)</f>
        <v>7517527.5</v>
      </c>
      <c r="G37" s="77">
        <f>SUM(G38:G81)</f>
        <v>0</v>
      </c>
      <c r="H37" s="77">
        <f>I37+J37</f>
        <v>11522574.300000001</v>
      </c>
      <c r="I37" s="77">
        <f>SUM(I38:I81)</f>
        <v>0</v>
      </c>
      <c r="J37" s="77">
        <f>SUM(J38:J81)</f>
        <v>11522574.300000001</v>
      </c>
      <c r="K37" s="77">
        <f>K39+K40+K41+K42+K43+K44+K45+K46+K47+K48+K49+K50+K51+K52+K53+K54+K55+K56+K57+K58+K59+K60+K61+K62+K63+K64+K65</f>
        <v>964570.8</v>
      </c>
      <c r="L37" s="89"/>
      <c r="M37" s="90"/>
      <c r="N37" s="90"/>
      <c r="O37" s="77">
        <f>SUM(O38:O81)</f>
        <v>0</v>
      </c>
      <c r="P37" s="77">
        <f>SUM(P38:P65)</f>
        <v>7864367.1600000011</v>
      </c>
      <c r="Q37" s="77">
        <f t="shared" ref="Q37:R37" si="5">SUM(Q38:Q65)</f>
        <v>0</v>
      </c>
      <c r="R37" s="77">
        <f t="shared" si="5"/>
        <v>7864367.1600000011</v>
      </c>
      <c r="S37" s="77">
        <f t="shared" ref="S37" si="6">SUM(S38:S65)</f>
        <v>0</v>
      </c>
      <c r="T37" s="77">
        <f t="shared" ref="T37" si="7">SUM(T38:T65)</f>
        <v>7671767.1600000011</v>
      </c>
      <c r="U37" s="77">
        <f t="shared" ref="U37" si="8">SUM(U38:U65)</f>
        <v>0</v>
      </c>
      <c r="V37" s="77">
        <f t="shared" ref="V37" si="9">SUM(V38:V65)</f>
        <v>7671767.1600000011</v>
      </c>
    </row>
    <row r="38" spans="1:22" x14ac:dyDescent="0.25">
      <c r="A38" s="242"/>
      <c r="B38" s="27" t="s">
        <v>1</v>
      </c>
      <c r="C38" s="26"/>
      <c r="D38" s="26"/>
      <c r="E38" s="26"/>
      <c r="F38" s="26"/>
      <c r="G38" s="23"/>
      <c r="H38" s="23"/>
      <c r="I38" s="23"/>
      <c r="J38" s="23"/>
      <c r="K38" s="91"/>
      <c r="L38" s="92"/>
      <c r="M38" s="93"/>
      <c r="N38" s="93"/>
      <c r="O38" s="23"/>
      <c r="P38" s="23"/>
      <c r="Q38" s="23"/>
      <c r="R38" s="23"/>
      <c r="S38" s="23"/>
      <c r="T38" s="23"/>
      <c r="U38" s="23"/>
      <c r="V38" s="23"/>
    </row>
    <row r="39" spans="1:22" x14ac:dyDescent="0.25">
      <c r="A39" s="243">
        <v>1</v>
      </c>
      <c r="B39" s="28" t="s">
        <v>2</v>
      </c>
      <c r="C39" s="23"/>
      <c r="D39" s="23">
        <v>10041602.25</v>
      </c>
      <c r="E39" s="23"/>
      <c r="F39" s="23">
        <v>7140153.4400000004</v>
      </c>
      <c r="G39" s="23">
        <v>0</v>
      </c>
      <c r="H39" s="23">
        <f>I39+J39</f>
        <v>11522574.300000001</v>
      </c>
      <c r="I39" s="23">
        <v>0</v>
      </c>
      <c r="J39" s="23">
        <f>9827712.17+1273033.79+421828.34</f>
        <v>11522574.300000001</v>
      </c>
      <c r="K39" s="23">
        <f>1273033.79-1273033.79</f>
        <v>0</v>
      </c>
      <c r="L39" s="94" t="s">
        <v>450</v>
      </c>
      <c r="M39" s="95"/>
      <c r="N39" s="95"/>
      <c r="O39" s="23"/>
      <c r="P39" s="23">
        <f>Q39+R39</f>
        <v>7302589.3600000003</v>
      </c>
      <c r="Q39" s="23"/>
      <c r="R39" s="23">
        <v>7302589.3600000003</v>
      </c>
      <c r="S39" s="23"/>
      <c r="T39" s="23">
        <f>U39+V39</f>
        <v>7109989.3600000003</v>
      </c>
      <c r="U39" s="23"/>
      <c r="V39" s="23">
        <v>7109989.3600000003</v>
      </c>
    </row>
    <row r="40" spans="1:22" x14ac:dyDescent="0.25">
      <c r="A40" s="243">
        <v>2</v>
      </c>
      <c r="B40" s="96" t="s">
        <v>440</v>
      </c>
      <c r="C40" s="97"/>
      <c r="D40" s="98">
        <v>1838150.31</v>
      </c>
      <c r="E40" s="98"/>
      <c r="F40" s="98">
        <v>377374.06</v>
      </c>
      <c r="G40" s="99"/>
      <c r="H40" s="23">
        <f t="shared" ref="H40:H65" si="10">I40+J40</f>
        <v>0</v>
      </c>
      <c r="I40" s="8"/>
      <c r="J40" s="14"/>
      <c r="K40" s="8">
        <v>1000</v>
      </c>
      <c r="L40" s="100" t="s">
        <v>98</v>
      </c>
      <c r="M40" s="101"/>
      <c r="N40" s="101"/>
      <c r="O40" s="8"/>
      <c r="P40" s="23">
        <f t="shared" ref="P40:P65" si="11">Q40+R40</f>
        <v>1000</v>
      </c>
      <c r="Q40" s="8"/>
      <c r="R40" s="8">
        <v>1000</v>
      </c>
      <c r="S40" s="8"/>
      <c r="T40" s="23">
        <f t="shared" ref="T40:T65" si="12">U40+V40</f>
        <v>1000</v>
      </c>
      <c r="U40" s="8"/>
      <c r="V40" s="8">
        <v>1000</v>
      </c>
    </row>
    <row r="41" spans="1:22" x14ac:dyDescent="0.25">
      <c r="A41" s="243">
        <v>3</v>
      </c>
      <c r="B41" s="14"/>
      <c r="C41" s="97"/>
      <c r="D41" s="97"/>
      <c r="E41" s="97"/>
      <c r="F41" s="97"/>
      <c r="G41" s="99"/>
      <c r="H41" s="23">
        <f t="shared" si="10"/>
        <v>0</v>
      </c>
      <c r="I41" s="8"/>
      <c r="J41" s="14"/>
      <c r="K41" s="8">
        <v>2600</v>
      </c>
      <c r="L41" s="100" t="s">
        <v>99</v>
      </c>
      <c r="M41" s="101"/>
      <c r="N41" s="101"/>
      <c r="O41" s="8"/>
      <c r="P41" s="23">
        <f t="shared" si="11"/>
        <v>2600</v>
      </c>
      <c r="Q41" s="8"/>
      <c r="R41" s="8">
        <v>2600</v>
      </c>
      <c r="S41" s="8"/>
      <c r="T41" s="23">
        <f t="shared" si="12"/>
        <v>2600</v>
      </c>
      <c r="U41" s="8"/>
      <c r="V41" s="8">
        <v>2600</v>
      </c>
    </row>
    <row r="42" spans="1:22" x14ac:dyDescent="0.25">
      <c r="A42" s="243">
        <v>4</v>
      </c>
      <c r="B42" s="14"/>
      <c r="C42" s="97"/>
      <c r="D42" s="97"/>
      <c r="E42" s="97"/>
      <c r="F42" s="97"/>
      <c r="G42" s="99"/>
      <c r="H42" s="23">
        <f t="shared" si="10"/>
        <v>0</v>
      </c>
      <c r="I42" s="8"/>
      <c r="J42" s="14"/>
      <c r="K42" s="8">
        <v>8000</v>
      </c>
      <c r="L42" s="100" t="s">
        <v>96</v>
      </c>
      <c r="M42" s="101"/>
      <c r="N42" s="101"/>
      <c r="O42" s="8"/>
      <c r="P42" s="23">
        <f t="shared" si="11"/>
        <v>8000</v>
      </c>
      <c r="Q42" s="8"/>
      <c r="R42" s="8">
        <v>8000</v>
      </c>
      <c r="S42" s="8"/>
      <c r="T42" s="23">
        <f t="shared" si="12"/>
        <v>8000</v>
      </c>
      <c r="U42" s="8"/>
      <c r="V42" s="8">
        <v>8000</v>
      </c>
    </row>
    <row r="43" spans="1:22" ht="30" x14ac:dyDescent="0.25">
      <c r="A43" s="243">
        <v>5</v>
      </c>
      <c r="B43" s="14"/>
      <c r="C43" s="97"/>
      <c r="D43" s="97"/>
      <c r="E43" s="97"/>
      <c r="F43" s="97"/>
      <c r="G43" s="99"/>
      <c r="H43" s="23">
        <f t="shared" si="10"/>
        <v>0</v>
      </c>
      <c r="I43" s="8"/>
      <c r="J43" s="14"/>
      <c r="K43" s="8">
        <v>7000</v>
      </c>
      <c r="L43" s="100" t="s">
        <v>97</v>
      </c>
      <c r="M43" s="101"/>
      <c r="N43" s="101"/>
      <c r="O43" s="8"/>
      <c r="P43" s="23">
        <f t="shared" si="11"/>
        <v>7000</v>
      </c>
      <c r="Q43" s="8"/>
      <c r="R43" s="8">
        <v>7000</v>
      </c>
      <c r="S43" s="8"/>
      <c r="T43" s="23">
        <f t="shared" si="12"/>
        <v>7000</v>
      </c>
      <c r="U43" s="8"/>
      <c r="V43" s="8">
        <v>7000</v>
      </c>
    </row>
    <row r="44" spans="1:22" ht="30" x14ac:dyDescent="0.25">
      <c r="A44" s="243">
        <v>6</v>
      </c>
      <c r="B44" s="14"/>
      <c r="C44" s="97"/>
      <c r="D44" s="97"/>
      <c r="E44" s="97"/>
      <c r="F44" s="97"/>
      <c r="G44" s="99"/>
      <c r="H44" s="23">
        <f t="shared" si="10"/>
        <v>0</v>
      </c>
      <c r="I44" s="8"/>
      <c r="J44" s="14"/>
      <c r="K44" s="8">
        <v>5200</v>
      </c>
      <c r="L44" s="100" t="s">
        <v>100</v>
      </c>
      <c r="M44" s="101"/>
      <c r="N44" s="101"/>
      <c r="O44" s="8"/>
      <c r="P44" s="23">
        <f t="shared" si="11"/>
        <v>5200</v>
      </c>
      <c r="Q44" s="8"/>
      <c r="R44" s="8">
        <v>5200</v>
      </c>
      <c r="S44" s="8"/>
      <c r="T44" s="23">
        <f t="shared" si="12"/>
        <v>5200</v>
      </c>
      <c r="U44" s="8"/>
      <c r="V44" s="8">
        <v>5200</v>
      </c>
    </row>
    <row r="45" spans="1:22" ht="30" x14ac:dyDescent="0.25">
      <c r="A45" s="243">
        <v>7</v>
      </c>
      <c r="B45" s="14"/>
      <c r="C45" s="97"/>
      <c r="D45" s="97"/>
      <c r="E45" s="97"/>
      <c r="F45" s="97"/>
      <c r="G45" s="99"/>
      <c r="H45" s="23">
        <f t="shared" si="10"/>
        <v>0</v>
      </c>
      <c r="I45" s="8"/>
      <c r="J45" s="14"/>
      <c r="K45" s="8">
        <v>40000</v>
      </c>
      <c r="L45" s="100" t="s">
        <v>101</v>
      </c>
      <c r="M45" s="101"/>
      <c r="N45" s="101"/>
      <c r="O45" s="8"/>
      <c r="P45" s="23">
        <f t="shared" si="11"/>
        <v>40000</v>
      </c>
      <c r="Q45" s="8"/>
      <c r="R45" s="8">
        <v>40000</v>
      </c>
      <c r="S45" s="8"/>
      <c r="T45" s="23">
        <f t="shared" si="12"/>
        <v>40000</v>
      </c>
      <c r="U45" s="8"/>
      <c r="V45" s="8">
        <v>40000</v>
      </c>
    </row>
    <row r="46" spans="1:22" x14ac:dyDescent="0.25">
      <c r="A46" s="243">
        <v>8</v>
      </c>
      <c r="B46" s="14"/>
      <c r="C46" s="97"/>
      <c r="D46" s="97"/>
      <c r="E46" s="97"/>
      <c r="F46" s="97"/>
      <c r="G46" s="99"/>
      <c r="H46" s="23">
        <f t="shared" si="10"/>
        <v>0</v>
      </c>
      <c r="I46" s="8"/>
      <c r="J46" s="14"/>
      <c r="K46" s="8">
        <v>60368.800000000003</v>
      </c>
      <c r="L46" s="100" t="s">
        <v>327</v>
      </c>
      <c r="M46" s="101"/>
      <c r="N46" s="101"/>
      <c r="O46" s="8"/>
      <c r="P46" s="23">
        <f t="shared" si="11"/>
        <v>60368.800000000003</v>
      </c>
      <c r="Q46" s="8"/>
      <c r="R46" s="8">
        <v>60368.800000000003</v>
      </c>
      <c r="S46" s="8"/>
      <c r="T46" s="23">
        <f t="shared" si="12"/>
        <v>60368.800000000003</v>
      </c>
      <c r="U46" s="8"/>
      <c r="V46" s="8">
        <v>60368.800000000003</v>
      </c>
    </row>
    <row r="47" spans="1:22" x14ac:dyDescent="0.25">
      <c r="A47" s="243">
        <v>9</v>
      </c>
      <c r="B47" s="14"/>
      <c r="C47" s="97"/>
      <c r="D47" s="97"/>
      <c r="E47" s="97"/>
      <c r="F47" s="97"/>
      <c r="G47" s="99"/>
      <c r="H47" s="23">
        <f t="shared" si="10"/>
        <v>0</v>
      </c>
      <c r="I47" s="8"/>
      <c r="J47" s="14"/>
      <c r="K47" s="8">
        <v>10653.32</v>
      </c>
      <c r="L47" s="100" t="s">
        <v>328</v>
      </c>
      <c r="M47" s="101"/>
      <c r="N47" s="101"/>
      <c r="O47" s="8"/>
      <c r="P47" s="23">
        <f t="shared" si="11"/>
        <v>10653.32</v>
      </c>
      <c r="Q47" s="8"/>
      <c r="R47" s="8">
        <v>10653.32</v>
      </c>
      <c r="S47" s="8"/>
      <c r="T47" s="23">
        <f t="shared" si="12"/>
        <v>10653.32</v>
      </c>
      <c r="U47" s="8"/>
      <c r="V47" s="8">
        <v>10653.32</v>
      </c>
    </row>
    <row r="48" spans="1:22" x14ac:dyDescent="0.25">
      <c r="A48" s="243">
        <v>10</v>
      </c>
      <c r="B48" s="14"/>
      <c r="C48" s="97"/>
      <c r="D48" s="97"/>
      <c r="E48" s="97"/>
      <c r="F48" s="97"/>
      <c r="G48" s="99"/>
      <c r="H48" s="23">
        <f t="shared" si="10"/>
        <v>0</v>
      </c>
      <c r="I48" s="8"/>
      <c r="J48" s="14"/>
      <c r="K48" s="47">
        <v>11593.2</v>
      </c>
      <c r="L48" s="102" t="s">
        <v>329</v>
      </c>
      <c r="M48" s="103"/>
      <c r="N48" s="103"/>
      <c r="O48" s="8"/>
      <c r="P48" s="23">
        <f t="shared" si="11"/>
        <v>11593.2</v>
      </c>
      <c r="Q48" s="8"/>
      <c r="R48" s="47">
        <v>11593.2</v>
      </c>
      <c r="S48" s="8"/>
      <c r="T48" s="23">
        <f t="shared" si="12"/>
        <v>11593.2</v>
      </c>
      <c r="U48" s="8"/>
      <c r="V48" s="8">
        <v>11593.2</v>
      </c>
    </row>
    <row r="49" spans="1:22" x14ac:dyDescent="0.25">
      <c r="A49" s="243">
        <v>11</v>
      </c>
      <c r="B49" s="14"/>
      <c r="C49" s="97"/>
      <c r="D49" s="97"/>
      <c r="E49" s="97"/>
      <c r="F49" s="97"/>
      <c r="G49" s="104"/>
      <c r="H49" s="23">
        <f t="shared" si="10"/>
        <v>0</v>
      </c>
      <c r="I49" s="23"/>
      <c r="J49" s="23"/>
      <c r="K49" s="23">
        <v>133500</v>
      </c>
      <c r="L49" s="89" t="s">
        <v>330</v>
      </c>
      <c r="M49" s="90"/>
      <c r="N49" s="90"/>
      <c r="O49" s="23"/>
      <c r="P49" s="23">
        <f t="shared" si="11"/>
        <v>127980</v>
      </c>
      <c r="Q49" s="23"/>
      <c r="R49" s="23">
        <v>127980</v>
      </c>
      <c r="S49" s="23"/>
      <c r="T49" s="23">
        <f t="shared" si="12"/>
        <v>127980</v>
      </c>
      <c r="U49" s="23"/>
      <c r="V49" s="23">
        <v>127980</v>
      </c>
    </row>
    <row r="50" spans="1:22" x14ac:dyDescent="0.25">
      <c r="A50" s="243">
        <v>12</v>
      </c>
      <c r="B50" s="14"/>
      <c r="C50" s="97"/>
      <c r="D50" s="97"/>
      <c r="E50" s="97"/>
      <c r="F50" s="97"/>
      <c r="G50" s="99"/>
      <c r="H50" s="23">
        <f t="shared" si="10"/>
        <v>0</v>
      </c>
      <c r="I50" s="8"/>
      <c r="J50" s="14"/>
      <c r="K50" s="8">
        <v>2971</v>
      </c>
      <c r="L50" s="92" t="s">
        <v>104</v>
      </c>
      <c r="M50" s="93"/>
      <c r="N50" s="93"/>
      <c r="O50" s="8"/>
      <c r="P50" s="23">
        <f t="shared" si="11"/>
        <v>2971</v>
      </c>
      <c r="Q50" s="8"/>
      <c r="R50" s="8">
        <v>2971</v>
      </c>
      <c r="S50" s="8"/>
      <c r="T50" s="23">
        <f t="shared" si="12"/>
        <v>2971</v>
      </c>
      <c r="U50" s="8"/>
      <c r="V50" s="8">
        <v>2971</v>
      </c>
    </row>
    <row r="51" spans="1:22" x14ac:dyDescent="0.25">
      <c r="A51" s="243">
        <v>13</v>
      </c>
      <c r="B51" s="14"/>
      <c r="C51" s="97"/>
      <c r="D51" s="97"/>
      <c r="E51" s="97"/>
      <c r="F51" s="97"/>
      <c r="G51" s="99"/>
      <c r="H51" s="23">
        <f t="shared" si="10"/>
        <v>0</v>
      </c>
      <c r="I51" s="8"/>
      <c r="J51" s="14"/>
      <c r="K51" s="8">
        <v>15795.24</v>
      </c>
      <c r="L51" s="92" t="s">
        <v>331</v>
      </c>
      <c r="M51" s="93"/>
      <c r="N51" s="93"/>
      <c r="O51" s="8"/>
      <c r="P51" s="23">
        <f t="shared" si="11"/>
        <v>15795.24</v>
      </c>
      <c r="Q51" s="8"/>
      <c r="R51" s="8">
        <v>15795.24</v>
      </c>
      <c r="S51" s="8"/>
      <c r="T51" s="23">
        <f t="shared" si="12"/>
        <v>15795.24</v>
      </c>
      <c r="U51" s="8"/>
      <c r="V51" s="8">
        <v>15795.24</v>
      </c>
    </row>
    <row r="52" spans="1:22" ht="30" x14ac:dyDescent="0.25">
      <c r="A52" s="243">
        <v>14</v>
      </c>
      <c r="B52" s="14"/>
      <c r="C52" s="97"/>
      <c r="D52" s="97"/>
      <c r="E52" s="97"/>
      <c r="F52" s="97"/>
      <c r="G52" s="104"/>
      <c r="H52" s="23">
        <f t="shared" si="10"/>
        <v>0</v>
      </c>
      <c r="I52" s="23"/>
      <c r="J52" s="14"/>
      <c r="K52" s="23">
        <v>12800</v>
      </c>
      <c r="L52" s="100" t="s">
        <v>111</v>
      </c>
      <c r="M52" s="101"/>
      <c r="N52" s="101"/>
      <c r="O52" s="23"/>
      <c r="P52" s="23">
        <f t="shared" si="11"/>
        <v>12800</v>
      </c>
      <c r="Q52" s="23"/>
      <c r="R52" s="23">
        <v>12800</v>
      </c>
      <c r="S52" s="23"/>
      <c r="T52" s="23">
        <f t="shared" si="12"/>
        <v>12800</v>
      </c>
      <c r="U52" s="23"/>
      <c r="V52" s="23">
        <v>12800</v>
      </c>
    </row>
    <row r="53" spans="1:22" ht="15.75" x14ac:dyDescent="0.25">
      <c r="A53" s="243">
        <v>15</v>
      </c>
      <c r="B53" s="14"/>
      <c r="C53" s="97"/>
      <c r="D53" s="97"/>
      <c r="E53" s="97"/>
      <c r="F53" s="97"/>
      <c r="G53" s="99"/>
      <c r="H53" s="23">
        <f t="shared" si="10"/>
        <v>0</v>
      </c>
      <c r="I53" s="8"/>
      <c r="J53" s="14"/>
      <c r="K53" s="105">
        <v>40942</v>
      </c>
      <c r="L53" s="92" t="s">
        <v>103</v>
      </c>
      <c r="M53" s="93"/>
      <c r="N53" s="93"/>
      <c r="O53" s="8"/>
      <c r="P53" s="23">
        <f t="shared" si="11"/>
        <v>40942</v>
      </c>
      <c r="Q53" s="8"/>
      <c r="R53" s="105">
        <v>40942</v>
      </c>
      <c r="S53" s="8"/>
      <c r="T53" s="23">
        <f t="shared" si="12"/>
        <v>40942</v>
      </c>
      <c r="U53" s="8"/>
      <c r="V53" s="105">
        <v>40942</v>
      </c>
    </row>
    <row r="54" spans="1:22" ht="30" x14ac:dyDescent="0.25">
      <c r="A54" s="243">
        <v>16</v>
      </c>
      <c r="B54" s="14"/>
      <c r="C54" s="97"/>
      <c r="D54" s="97"/>
      <c r="E54" s="97"/>
      <c r="F54" s="97"/>
      <c r="G54" s="99"/>
      <c r="H54" s="23">
        <f t="shared" si="10"/>
        <v>0</v>
      </c>
      <c r="I54" s="8"/>
      <c r="J54" s="14"/>
      <c r="K54" s="106">
        <v>71600</v>
      </c>
      <c r="L54" s="100" t="s">
        <v>102</v>
      </c>
      <c r="M54" s="101"/>
      <c r="N54" s="101"/>
      <c r="O54" s="8"/>
      <c r="P54" s="23">
        <f t="shared" si="11"/>
        <v>40000</v>
      </c>
      <c r="Q54" s="8"/>
      <c r="R54" s="8">
        <v>40000</v>
      </c>
      <c r="S54" s="8"/>
      <c r="T54" s="23">
        <f t="shared" si="12"/>
        <v>40000</v>
      </c>
      <c r="U54" s="8"/>
      <c r="V54" s="8">
        <v>40000</v>
      </c>
    </row>
    <row r="55" spans="1:22" ht="60" x14ac:dyDescent="0.25">
      <c r="A55" s="243">
        <v>17</v>
      </c>
      <c r="B55" s="14"/>
      <c r="C55" s="97"/>
      <c r="D55" s="97"/>
      <c r="E55" s="97"/>
      <c r="F55" s="97"/>
      <c r="G55" s="104"/>
      <c r="H55" s="23">
        <f t="shared" si="10"/>
        <v>0</v>
      </c>
      <c r="I55" s="23"/>
      <c r="J55" s="23"/>
      <c r="K55" s="23">
        <v>82218.240000000005</v>
      </c>
      <c r="L55" s="100" t="s">
        <v>332</v>
      </c>
      <c r="M55" s="101"/>
      <c r="N55" s="101"/>
      <c r="O55" s="23"/>
      <c r="P55" s="23">
        <f t="shared" si="11"/>
        <v>82218.240000000005</v>
      </c>
      <c r="Q55" s="23"/>
      <c r="R55" s="23">
        <v>82218.240000000005</v>
      </c>
      <c r="S55" s="23"/>
      <c r="T55" s="23">
        <f t="shared" si="12"/>
        <v>82218.240000000005</v>
      </c>
      <c r="U55" s="23"/>
      <c r="V55" s="23">
        <v>82218.240000000005</v>
      </c>
    </row>
    <row r="56" spans="1:22" ht="30" x14ac:dyDescent="0.25">
      <c r="A56" s="243">
        <v>18</v>
      </c>
      <c r="B56" s="14"/>
      <c r="C56" s="97"/>
      <c r="D56" s="97"/>
      <c r="E56" s="97"/>
      <c r="F56" s="97"/>
      <c r="G56" s="104"/>
      <c r="H56" s="23">
        <f t="shared" si="10"/>
        <v>0</v>
      </c>
      <c r="I56" s="23"/>
      <c r="J56" s="23"/>
      <c r="K56" s="23">
        <v>9328</v>
      </c>
      <c r="L56" s="100" t="s">
        <v>333</v>
      </c>
      <c r="M56" s="101"/>
      <c r="N56" s="101"/>
      <c r="O56" s="23"/>
      <c r="P56" s="23">
        <f t="shared" si="11"/>
        <v>9328</v>
      </c>
      <c r="Q56" s="23"/>
      <c r="R56" s="23">
        <v>9328</v>
      </c>
      <c r="S56" s="23"/>
      <c r="T56" s="23">
        <f t="shared" si="12"/>
        <v>9328</v>
      </c>
      <c r="U56" s="23"/>
      <c r="V56" s="23">
        <v>9328</v>
      </c>
    </row>
    <row r="57" spans="1:22" ht="29.25" customHeight="1" x14ac:dyDescent="0.25">
      <c r="A57" s="243">
        <v>19</v>
      </c>
      <c r="B57" s="14"/>
      <c r="C57" s="97"/>
      <c r="D57" s="97"/>
      <c r="E57" s="97"/>
      <c r="F57" s="97"/>
      <c r="G57" s="104"/>
      <c r="H57" s="23">
        <f t="shared" si="10"/>
        <v>0</v>
      </c>
      <c r="I57" s="23"/>
      <c r="J57" s="107"/>
      <c r="K57" s="23">
        <v>3000</v>
      </c>
      <c r="L57" s="92" t="s">
        <v>105</v>
      </c>
      <c r="M57" s="93"/>
      <c r="N57" s="93"/>
      <c r="O57" s="23"/>
      <c r="P57" s="23">
        <f t="shared" si="11"/>
        <v>3000</v>
      </c>
      <c r="Q57" s="23"/>
      <c r="R57" s="23">
        <v>3000</v>
      </c>
      <c r="S57" s="23"/>
      <c r="T57" s="23">
        <f t="shared" si="12"/>
        <v>3000</v>
      </c>
      <c r="U57" s="23"/>
      <c r="V57" s="23">
        <v>3000</v>
      </c>
    </row>
    <row r="58" spans="1:22" x14ac:dyDescent="0.25">
      <c r="A58" s="243">
        <v>20</v>
      </c>
      <c r="B58" s="14"/>
      <c r="C58" s="97"/>
      <c r="D58" s="97"/>
      <c r="E58" s="97"/>
      <c r="F58" s="97"/>
      <c r="G58" s="104"/>
      <c r="H58" s="23">
        <f t="shared" si="10"/>
        <v>0</v>
      </c>
      <c r="I58" s="23"/>
      <c r="J58" s="23"/>
      <c r="K58" s="23">
        <v>159900</v>
      </c>
      <c r="L58" s="100" t="s">
        <v>334</v>
      </c>
      <c r="M58" s="101"/>
      <c r="N58" s="101"/>
      <c r="O58" s="23"/>
      <c r="P58" s="23">
        <f t="shared" si="11"/>
        <v>0</v>
      </c>
      <c r="Q58" s="23"/>
      <c r="R58" s="23">
        <v>0</v>
      </c>
      <c r="S58" s="23"/>
      <c r="T58" s="23">
        <f t="shared" si="12"/>
        <v>0</v>
      </c>
      <c r="U58" s="23"/>
      <c r="V58" s="23">
        <v>0</v>
      </c>
    </row>
    <row r="59" spans="1:22" ht="45" x14ac:dyDescent="0.25">
      <c r="A59" s="243">
        <v>21</v>
      </c>
      <c r="B59" s="14"/>
      <c r="C59" s="108"/>
      <c r="D59" s="108"/>
      <c r="E59" s="108"/>
      <c r="F59" s="108"/>
      <c r="G59" s="47"/>
      <c r="H59" s="23">
        <f t="shared" si="10"/>
        <v>0</v>
      </c>
      <c r="I59" s="23"/>
      <c r="J59" s="14"/>
      <c r="K59" s="23">
        <v>178584</v>
      </c>
      <c r="L59" s="100" t="s">
        <v>335</v>
      </c>
      <c r="M59" s="101"/>
      <c r="N59" s="101"/>
      <c r="O59" s="23"/>
      <c r="P59" s="23">
        <f t="shared" si="11"/>
        <v>0</v>
      </c>
      <c r="Q59" s="23"/>
      <c r="R59" s="23">
        <v>0</v>
      </c>
      <c r="S59" s="23"/>
      <c r="T59" s="23">
        <f t="shared" si="12"/>
        <v>0</v>
      </c>
      <c r="U59" s="23"/>
      <c r="V59" s="23">
        <v>0</v>
      </c>
    </row>
    <row r="60" spans="1:22" ht="30" x14ac:dyDescent="0.25">
      <c r="A60" s="243">
        <v>22</v>
      </c>
      <c r="B60" s="14"/>
      <c r="C60" s="97"/>
      <c r="D60" s="97"/>
      <c r="E60" s="97"/>
      <c r="F60" s="97"/>
      <c r="G60" s="104"/>
      <c r="H60" s="23">
        <f t="shared" si="10"/>
        <v>0</v>
      </c>
      <c r="I60" s="23"/>
      <c r="J60" s="14"/>
      <c r="K60" s="23">
        <v>7875</v>
      </c>
      <c r="L60" s="92" t="s">
        <v>106</v>
      </c>
      <c r="M60" s="93"/>
      <c r="N60" s="93"/>
      <c r="O60" s="23"/>
      <c r="P60" s="23">
        <f t="shared" si="11"/>
        <v>7875</v>
      </c>
      <c r="Q60" s="23"/>
      <c r="R60" s="23">
        <v>7875</v>
      </c>
      <c r="S60" s="23"/>
      <c r="T60" s="23">
        <f t="shared" si="12"/>
        <v>7875</v>
      </c>
      <c r="U60" s="23"/>
      <c r="V60" s="23">
        <v>7875</v>
      </c>
    </row>
    <row r="61" spans="1:22" x14ac:dyDescent="0.25">
      <c r="A61" s="243">
        <v>23</v>
      </c>
      <c r="B61" s="14"/>
      <c r="C61" s="97"/>
      <c r="D61" s="97"/>
      <c r="E61" s="97"/>
      <c r="F61" s="97"/>
      <c r="G61" s="104"/>
      <c r="H61" s="23">
        <f t="shared" si="10"/>
        <v>0</v>
      </c>
      <c r="I61" s="23"/>
      <c r="J61" s="14"/>
      <c r="K61" s="23">
        <v>1128</v>
      </c>
      <c r="L61" s="92" t="s">
        <v>108</v>
      </c>
      <c r="M61" s="93"/>
      <c r="N61" s="93"/>
      <c r="O61" s="23"/>
      <c r="P61" s="23">
        <f t="shared" si="11"/>
        <v>1128</v>
      </c>
      <c r="Q61" s="23"/>
      <c r="R61" s="23">
        <v>1128</v>
      </c>
      <c r="S61" s="23"/>
      <c r="T61" s="23">
        <f t="shared" si="12"/>
        <v>1128</v>
      </c>
      <c r="U61" s="23"/>
      <c r="V61" s="23">
        <v>1128</v>
      </c>
    </row>
    <row r="62" spans="1:22" x14ac:dyDescent="0.25">
      <c r="A62" s="243">
        <v>24</v>
      </c>
      <c r="B62" s="107"/>
      <c r="C62" s="109"/>
      <c r="D62" s="109"/>
      <c r="E62" s="109"/>
      <c r="F62" s="109"/>
      <c r="G62" s="104"/>
      <c r="H62" s="23">
        <f t="shared" si="10"/>
        <v>0</v>
      </c>
      <c r="I62" s="23"/>
      <c r="J62" s="14"/>
      <c r="K62" s="23">
        <v>10575</v>
      </c>
      <c r="L62" s="92" t="s">
        <v>107</v>
      </c>
      <c r="M62" s="93"/>
      <c r="N62" s="93"/>
      <c r="O62" s="23"/>
      <c r="P62" s="23">
        <f t="shared" si="11"/>
        <v>10575</v>
      </c>
      <c r="Q62" s="23"/>
      <c r="R62" s="23">
        <v>10575</v>
      </c>
      <c r="S62" s="23"/>
      <c r="T62" s="23">
        <f t="shared" si="12"/>
        <v>10575</v>
      </c>
      <c r="U62" s="23"/>
      <c r="V62" s="23">
        <v>10575</v>
      </c>
    </row>
    <row r="63" spans="1:22" ht="60" x14ac:dyDescent="0.25">
      <c r="A63" s="243">
        <v>25</v>
      </c>
      <c r="B63" s="107"/>
      <c r="C63" s="109"/>
      <c r="D63" s="109"/>
      <c r="E63" s="109"/>
      <c r="F63" s="109"/>
      <c r="G63" s="104"/>
      <c r="H63" s="23">
        <f t="shared" si="10"/>
        <v>0</v>
      </c>
      <c r="I63" s="23"/>
      <c r="J63" s="14"/>
      <c r="K63" s="23">
        <v>27189</v>
      </c>
      <c r="L63" s="100" t="s">
        <v>336</v>
      </c>
      <c r="M63" s="101"/>
      <c r="N63" s="101"/>
      <c r="O63" s="23"/>
      <c r="P63" s="23">
        <f t="shared" si="11"/>
        <v>0</v>
      </c>
      <c r="Q63" s="23"/>
      <c r="R63" s="23">
        <v>0</v>
      </c>
      <c r="S63" s="23"/>
      <c r="T63" s="23">
        <f t="shared" si="12"/>
        <v>0</v>
      </c>
      <c r="U63" s="23"/>
      <c r="V63" s="23">
        <v>0</v>
      </c>
    </row>
    <row r="64" spans="1:22" x14ac:dyDescent="0.25">
      <c r="A64" s="243">
        <v>26</v>
      </c>
      <c r="B64" s="107"/>
      <c r="C64" s="109"/>
      <c r="D64" s="109"/>
      <c r="E64" s="109"/>
      <c r="F64" s="109"/>
      <c r="G64" s="104"/>
      <c r="H64" s="23">
        <f t="shared" si="10"/>
        <v>0</v>
      </c>
      <c r="I64" s="23"/>
      <c r="J64" s="14"/>
      <c r="K64" s="23">
        <v>16500</v>
      </c>
      <c r="L64" s="92" t="s">
        <v>337</v>
      </c>
      <c r="M64" s="93"/>
      <c r="N64" s="93"/>
      <c r="O64" s="23"/>
      <c r="P64" s="23">
        <f t="shared" si="11"/>
        <v>16500</v>
      </c>
      <c r="Q64" s="23"/>
      <c r="R64" s="23">
        <v>16500</v>
      </c>
      <c r="S64" s="23"/>
      <c r="T64" s="23">
        <f t="shared" si="12"/>
        <v>16500</v>
      </c>
      <c r="U64" s="23"/>
      <c r="V64" s="23">
        <v>16500</v>
      </c>
    </row>
    <row r="65" spans="1:22" x14ac:dyDescent="0.25">
      <c r="A65" s="243">
        <v>27</v>
      </c>
      <c r="B65" s="107"/>
      <c r="C65" s="109"/>
      <c r="D65" s="109"/>
      <c r="E65" s="109"/>
      <c r="F65" s="109"/>
      <c r="G65" s="104"/>
      <c r="H65" s="23">
        <f t="shared" si="10"/>
        <v>0</v>
      </c>
      <c r="I65" s="23"/>
      <c r="J65" s="14"/>
      <c r="K65" s="23">
        <v>44250</v>
      </c>
      <c r="L65" s="92" t="s">
        <v>109</v>
      </c>
      <c r="M65" s="93"/>
      <c r="N65" s="93"/>
      <c r="O65" s="23"/>
      <c r="P65" s="23">
        <f t="shared" si="11"/>
        <v>44250</v>
      </c>
      <c r="Q65" s="23"/>
      <c r="R65" s="23">
        <v>44250</v>
      </c>
      <c r="S65" s="23"/>
      <c r="T65" s="23">
        <f t="shared" si="12"/>
        <v>44250</v>
      </c>
      <c r="U65" s="23"/>
      <c r="V65" s="23">
        <v>44250</v>
      </c>
    </row>
    <row r="66" spans="1:22" ht="83.25" customHeight="1" x14ac:dyDescent="0.25">
      <c r="A66" s="250">
        <v>9</v>
      </c>
      <c r="B66" s="44" t="s">
        <v>338</v>
      </c>
      <c r="C66" s="110">
        <f>C67+C68+C69+C70+C71+C72+C73</f>
        <v>0</v>
      </c>
      <c r="D66" s="110">
        <f>D67+D68+D69+D70+D71+D72+D73</f>
        <v>2316013.14</v>
      </c>
      <c r="E66" s="110">
        <f>E67+E68+E69+E70+E71+E72+E73</f>
        <v>0</v>
      </c>
      <c r="F66" s="110">
        <f>F67+F68+F69+F70+F71+F72+F73</f>
        <v>1045469.79</v>
      </c>
      <c r="G66" s="104"/>
      <c r="H66" s="45">
        <f>I66+J66</f>
        <v>0</v>
      </c>
      <c r="I66" s="77">
        <f>SUM(I67:I73)</f>
        <v>0</v>
      </c>
      <c r="J66" s="77">
        <f>SUM(J67:J73)</f>
        <v>0</v>
      </c>
      <c r="K66" s="77">
        <f>SUM(K67:K73)</f>
        <v>2817484.52</v>
      </c>
      <c r="L66" s="92"/>
      <c r="M66" s="93"/>
      <c r="N66" s="93"/>
      <c r="O66" s="77"/>
      <c r="P66" s="77">
        <f>SUM(P67:P73)</f>
        <v>951913.76</v>
      </c>
      <c r="Q66" s="77">
        <f t="shared" ref="Q66:V66" si="13">SUM(Q67:Q73)</f>
        <v>0</v>
      </c>
      <c r="R66" s="77">
        <f t="shared" si="13"/>
        <v>951913.76</v>
      </c>
      <c r="S66" s="77">
        <f t="shared" si="13"/>
        <v>0</v>
      </c>
      <c r="T66" s="77">
        <f t="shared" si="13"/>
        <v>841938.76</v>
      </c>
      <c r="U66" s="77">
        <f t="shared" si="13"/>
        <v>0</v>
      </c>
      <c r="V66" s="77">
        <f t="shared" si="13"/>
        <v>841938.76</v>
      </c>
    </row>
    <row r="67" spans="1:22" ht="45" x14ac:dyDescent="0.25">
      <c r="A67" s="243">
        <v>1</v>
      </c>
      <c r="B67" s="111" t="s">
        <v>116</v>
      </c>
      <c r="C67" s="109"/>
      <c r="D67" s="112">
        <v>2316013.14</v>
      </c>
      <c r="E67" s="112"/>
      <c r="F67" s="112">
        <v>1045469.79</v>
      </c>
      <c r="G67" s="104"/>
      <c r="H67" s="8">
        <f>I67+J67</f>
        <v>0</v>
      </c>
      <c r="I67" s="23"/>
      <c r="J67" s="23"/>
      <c r="K67" s="23">
        <v>185754</v>
      </c>
      <c r="L67" s="100" t="s">
        <v>115</v>
      </c>
      <c r="M67" s="101"/>
      <c r="N67" s="101"/>
      <c r="O67" s="23"/>
      <c r="P67" s="23">
        <f>Q67+R67</f>
        <v>185754</v>
      </c>
      <c r="Q67" s="23"/>
      <c r="R67" s="23">
        <v>185754</v>
      </c>
      <c r="S67" s="23"/>
      <c r="T67" s="23">
        <f>U67+V67</f>
        <v>185754</v>
      </c>
      <c r="U67" s="23"/>
      <c r="V67" s="23">
        <v>185754</v>
      </c>
    </row>
    <row r="68" spans="1:22" x14ac:dyDescent="0.25">
      <c r="A68" s="243">
        <v>2</v>
      </c>
      <c r="B68" s="107"/>
      <c r="C68" s="109"/>
      <c r="D68" s="109"/>
      <c r="E68" s="109"/>
      <c r="F68" s="109"/>
      <c r="G68" s="104"/>
      <c r="H68" s="8">
        <f t="shared" ref="H68:H73" si="14">I68+J68</f>
        <v>0</v>
      </c>
      <c r="I68" s="23"/>
      <c r="J68" s="14"/>
      <c r="K68" s="23">
        <v>100</v>
      </c>
      <c r="L68" s="92" t="s">
        <v>329</v>
      </c>
      <c r="M68" s="93"/>
      <c r="N68" s="93"/>
      <c r="O68" s="23"/>
      <c r="P68" s="23">
        <f t="shared" ref="P68:P73" si="15">Q68+R68</f>
        <v>100</v>
      </c>
      <c r="Q68" s="23"/>
      <c r="R68" s="23">
        <v>100</v>
      </c>
      <c r="S68" s="23"/>
      <c r="T68" s="23">
        <f t="shared" ref="T68:T73" si="16">U68+V68</f>
        <v>100</v>
      </c>
      <c r="U68" s="23"/>
      <c r="V68" s="23">
        <v>100</v>
      </c>
    </row>
    <row r="69" spans="1:22" ht="30" x14ac:dyDescent="0.25">
      <c r="A69" s="243">
        <v>3</v>
      </c>
      <c r="B69" s="107"/>
      <c r="C69" s="109"/>
      <c r="D69" s="109"/>
      <c r="E69" s="109"/>
      <c r="F69" s="109"/>
      <c r="G69" s="104"/>
      <c r="H69" s="8">
        <f t="shared" si="14"/>
        <v>0</v>
      </c>
      <c r="I69" s="23"/>
      <c r="J69" s="14"/>
      <c r="K69" s="23">
        <v>18278.52</v>
      </c>
      <c r="L69" s="100" t="s">
        <v>110</v>
      </c>
      <c r="M69" s="101"/>
      <c r="N69" s="101"/>
      <c r="O69" s="23"/>
      <c r="P69" s="23">
        <f t="shared" si="15"/>
        <v>18278.52</v>
      </c>
      <c r="Q69" s="23"/>
      <c r="R69" s="23">
        <v>18278.52</v>
      </c>
      <c r="S69" s="23"/>
      <c r="T69" s="23">
        <f t="shared" si="16"/>
        <v>18278.52</v>
      </c>
      <c r="U69" s="23"/>
      <c r="V69" s="23">
        <v>18278.52</v>
      </c>
    </row>
    <row r="70" spans="1:22" ht="75" x14ac:dyDescent="0.25">
      <c r="A70" s="243">
        <v>4</v>
      </c>
      <c r="B70" s="107"/>
      <c r="C70" s="109"/>
      <c r="D70" s="109"/>
      <c r="E70" s="109"/>
      <c r="F70" s="109"/>
      <c r="G70" s="104"/>
      <c r="H70" s="8">
        <f t="shared" si="14"/>
        <v>0</v>
      </c>
      <c r="I70" s="23"/>
      <c r="J70" s="23"/>
      <c r="K70" s="23">
        <v>160000</v>
      </c>
      <c r="L70" s="89" t="s">
        <v>339</v>
      </c>
      <c r="M70" s="90"/>
      <c r="N70" s="90"/>
      <c r="O70" s="23"/>
      <c r="P70" s="23">
        <f t="shared" si="15"/>
        <v>0</v>
      </c>
      <c r="Q70" s="23"/>
      <c r="R70" s="23">
        <v>0</v>
      </c>
      <c r="S70" s="23"/>
      <c r="T70" s="23">
        <f t="shared" si="16"/>
        <v>0</v>
      </c>
      <c r="U70" s="23"/>
      <c r="V70" s="23">
        <v>0</v>
      </c>
    </row>
    <row r="71" spans="1:22" ht="45" x14ac:dyDescent="0.25">
      <c r="A71" s="243">
        <v>5</v>
      </c>
      <c r="B71" s="107"/>
      <c r="C71" s="109"/>
      <c r="D71" s="109"/>
      <c r="E71" s="109"/>
      <c r="F71" s="109"/>
      <c r="G71" s="104"/>
      <c r="H71" s="8">
        <f t="shared" si="14"/>
        <v>0</v>
      </c>
      <c r="I71" s="23"/>
      <c r="J71" s="23"/>
      <c r="K71" s="23">
        <v>850000</v>
      </c>
      <c r="L71" s="89" t="s">
        <v>340</v>
      </c>
      <c r="M71" s="90"/>
      <c r="N71" s="90"/>
      <c r="O71" s="23"/>
      <c r="P71" s="23">
        <f t="shared" si="15"/>
        <v>0</v>
      </c>
      <c r="Q71" s="23"/>
      <c r="R71" s="23">
        <v>0</v>
      </c>
      <c r="S71" s="23"/>
      <c r="T71" s="23">
        <f t="shared" si="16"/>
        <v>0</v>
      </c>
      <c r="U71" s="23"/>
      <c r="V71" s="23">
        <v>0</v>
      </c>
    </row>
    <row r="72" spans="1:22" ht="30" x14ac:dyDescent="0.25">
      <c r="A72" s="243">
        <v>6</v>
      </c>
      <c r="B72" s="107"/>
      <c r="C72" s="113"/>
      <c r="D72" s="113"/>
      <c r="E72" s="113"/>
      <c r="F72" s="113"/>
      <c r="G72" s="23"/>
      <c r="H72" s="8">
        <f t="shared" si="14"/>
        <v>0</v>
      </c>
      <c r="I72" s="23"/>
      <c r="J72" s="23"/>
      <c r="K72" s="23">
        <v>161310</v>
      </c>
      <c r="L72" s="89" t="s">
        <v>341</v>
      </c>
      <c r="M72" s="90"/>
      <c r="N72" s="90"/>
      <c r="O72" s="23"/>
      <c r="P72" s="23">
        <f t="shared" si="15"/>
        <v>0</v>
      </c>
      <c r="Q72" s="23"/>
      <c r="R72" s="23">
        <v>0</v>
      </c>
      <c r="S72" s="23"/>
      <c r="T72" s="23">
        <f t="shared" si="16"/>
        <v>0</v>
      </c>
      <c r="U72" s="23"/>
      <c r="V72" s="23">
        <v>0</v>
      </c>
    </row>
    <row r="73" spans="1:22" ht="30" x14ac:dyDescent="0.25">
      <c r="A73" s="243">
        <v>7</v>
      </c>
      <c r="B73" s="107"/>
      <c r="C73" s="109"/>
      <c r="D73" s="109"/>
      <c r="E73" s="109"/>
      <c r="F73" s="109"/>
      <c r="G73" s="104"/>
      <c r="H73" s="8">
        <f t="shared" si="14"/>
        <v>0</v>
      </c>
      <c r="I73" s="23"/>
      <c r="J73" s="23"/>
      <c r="K73" s="23">
        <v>1442042</v>
      </c>
      <c r="L73" s="100" t="s">
        <v>116</v>
      </c>
      <c r="M73" s="101"/>
      <c r="N73" s="101"/>
      <c r="O73" s="23"/>
      <c r="P73" s="23">
        <f t="shared" si="15"/>
        <v>747781.24</v>
      </c>
      <c r="Q73" s="23"/>
      <c r="R73" s="23">
        <f>1442042-694260.76</f>
        <v>747781.24</v>
      </c>
      <c r="S73" s="23"/>
      <c r="T73" s="23">
        <f t="shared" si="16"/>
        <v>637806.24</v>
      </c>
      <c r="U73" s="23"/>
      <c r="V73" s="23">
        <f>1442042-804235.76</f>
        <v>637806.24</v>
      </c>
    </row>
    <row r="74" spans="1:22" ht="42.75" x14ac:dyDescent="0.25">
      <c r="A74" s="241">
        <v>10</v>
      </c>
      <c r="B74" s="114" t="s">
        <v>342</v>
      </c>
      <c r="C74" s="115">
        <f>C75+C76+C77+C78</f>
        <v>0</v>
      </c>
      <c r="D74" s="115">
        <f>D75+D76+D77+D78</f>
        <v>766740.19</v>
      </c>
      <c r="E74" s="115">
        <f>E75+E76+E77+E78</f>
        <v>0</v>
      </c>
      <c r="F74" s="116">
        <f>F75+F76+F77+F78</f>
        <v>498277.86</v>
      </c>
      <c r="G74" s="86"/>
      <c r="H74" s="82">
        <f>I74+J74</f>
        <v>0</v>
      </c>
      <c r="I74" s="85">
        <f>SUM(I75:I79)</f>
        <v>0</v>
      </c>
      <c r="J74" s="85">
        <f>SUM(J75:J79)</f>
        <v>0</v>
      </c>
      <c r="K74" s="85">
        <f>SUM(K75:K79)</f>
        <v>3627894</v>
      </c>
      <c r="L74" s="117"/>
      <c r="M74" s="118">
        <v>2000000</v>
      </c>
      <c r="N74" s="119"/>
      <c r="O74" s="85"/>
      <c r="P74" s="85">
        <f>R74+Q74</f>
        <v>1032562</v>
      </c>
      <c r="Q74" s="85">
        <f>SUM(Q75:Q79)</f>
        <v>0</v>
      </c>
      <c r="R74" s="85">
        <f>SUM(R75:R79)</f>
        <v>1032562</v>
      </c>
      <c r="S74" s="85"/>
      <c r="T74" s="85">
        <f>V74+U74</f>
        <v>1032562</v>
      </c>
      <c r="U74" s="85">
        <f>SUM(U75:U79)</f>
        <v>0</v>
      </c>
      <c r="V74" s="85">
        <f>SUM(V75:V79)</f>
        <v>1032562</v>
      </c>
    </row>
    <row r="75" spans="1:22" ht="75" x14ac:dyDescent="0.25">
      <c r="A75" s="243">
        <v>1</v>
      </c>
      <c r="B75" s="14"/>
      <c r="C75" s="80"/>
      <c r="D75" s="61">
        <v>766740.19</v>
      </c>
      <c r="E75" s="61"/>
      <c r="F75" s="61">
        <v>498277.86</v>
      </c>
      <c r="G75" s="14"/>
      <c r="H75" s="61">
        <f>I75+J75</f>
        <v>0</v>
      </c>
      <c r="I75" s="14"/>
      <c r="J75" s="14"/>
      <c r="K75" s="23">
        <v>499512</v>
      </c>
      <c r="L75" s="92" t="s">
        <v>391</v>
      </c>
      <c r="M75" s="93"/>
      <c r="N75" s="93"/>
      <c r="O75" s="14"/>
      <c r="P75" s="23">
        <f>Q75+R75</f>
        <v>499512</v>
      </c>
      <c r="Q75" s="14"/>
      <c r="R75" s="23">
        <v>499512</v>
      </c>
      <c r="S75" s="14"/>
      <c r="T75" s="23">
        <f>U75+V75</f>
        <v>499512</v>
      </c>
      <c r="U75" s="14"/>
      <c r="V75" s="23">
        <v>499512</v>
      </c>
    </row>
    <row r="76" spans="1:22" ht="90" x14ac:dyDescent="0.25">
      <c r="A76" s="243">
        <v>2</v>
      </c>
      <c r="B76" s="14"/>
      <c r="C76" s="97"/>
      <c r="D76" s="97"/>
      <c r="E76" s="97"/>
      <c r="F76" s="97"/>
      <c r="G76" s="104"/>
      <c r="H76" s="61">
        <f t="shared" ref="H76:H79" si="17">I76+J76</f>
        <v>0</v>
      </c>
      <c r="I76" s="23"/>
      <c r="J76" s="23"/>
      <c r="K76" s="23">
        <v>233050</v>
      </c>
      <c r="L76" s="100" t="s">
        <v>112</v>
      </c>
      <c r="M76" s="101"/>
      <c r="N76" s="101"/>
      <c r="O76" s="23"/>
      <c r="P76" s="23">
        <f t="shared" ref="P76:P79" si="18">Q76+R76</f>
        <v>233050</v>
      </c>
      <c r="Q76" s="23"/>
      <c r="R76" s="23">
        <v>233050</v>
      </c>
      <c r="S76" s="23"/>
      <c r="T76" s="23">
        <f t="shared" ref="T76:T79" si="19">U76+V76</f>
        <v>233050</v>
      </c>
      <c r="U76" s="23"/>
      <c r="V76" s="23">
        <v>233050</v>
      </c>
    </row>
    <row r="77" spans="1:22" ht="45" x14ac:dyDescent="0.25">
      <c r="A77" s="243">
        <v>3</v>
      </c>
      <c r="B77" s="14"/>
      <c r="C77" s="97"/>
      <c r="D77" s="97"/>
      <c r="E77" s="97"/>
      <c r="F77" s="97"/>
      <c r="G77" s="104"/>
      <c r="H77" s="61">
        <f t="shared" si="17"/>
        <v>0</v>
      </c>
      <c r="I77" s="23"/>
      <c r="J77" s="23"/>
      <c r="K77" s="23">
        <v>150000</v>
      </c>
      <c r="L77" s="100" t="s">
        <v>113</v>
      </c>
      <c r="M77" s="101"/>
      <c r="N77" s="101"/>
      <c r="O77" s="23"/>
      <c r="P77" s="23">
        <f t="shared" si="18"/>
        <v>150000</v>
      </c>
      <c r="Q77" s="23"/>
      <c r="R77" s="23">
        <v>150000</v>
      </c>
      <c r="S77" s="23"/>
      <c r="T77" s="23">
        <f t="shared" si="19"/>
        <v>150000</v>
      </c>
      <c r="U77" s="23"/>
      <c r="V77" s="23">
        <v>150000</v>
      </c>
    </row>
    <row r="78" spans="1:22" ht="30" x14ac:dyDescent="0.25">
      <c r="A78" s="243">
        <v>4</v>
      </c>
      <c r="B78" s="14"/>
      <c r="C78" s="97"/>
      <c r="D78" s="97"/>
      <c r="E78" s="97"/>
      <c r="F78" s="97"/>
      <c r="G78" s="104"/>
      <c r="H78" s="61">
        <f t="shared" si="17"/>
        <v>0</v>
      </c>
      <c r="I78" s="23"/>
      <c r="J78" s="23"/>
      <c r="K78" s="23">
        <v>150000</v>
      </c>
      <c r="L78" s="100" t="s">
        <v>114</v>
      </c>
      <c r="M78" s="101"/>
      <c r="N78" s="101"/>
      <c r="O78" s="23"/>
      <c r="P78" s="23">
        <f t="shared" si="18"/>
        <v>150000</v>
      </c>
      <c r="Q78" s="23"/>
      <c r="R78" s="23">
        <v>150000</v>
      </c>
      <c r="S78" s="23"/>
      <c r="T78" s="23">
        <f t="shared" si="19"/>
        <v>150000</v>
      </c>
      <c r="U78" s="23"/>
      <c r="V78" s="23">
        <v>150000</v>
      </c>
    </row>
    <row r="79" spans="1:22" ht="45" x14ac:dyDescent="0.25">
      <c r="A79" s="243">
        <v>5</v>
      </c>
      <c r="B79" s="14"/>
      <c r="C79" s="97"/>
      <c r="D79" s="97"/>
      <c r="E79" s="97"/>
      <c r="F79" s="97"/>
      <c r="G79" s="104"/>
      <c r="H79" s="61">
        <f t="shared" si="17"/>
        <v>0</v>
      </c>
      <c r="I79" s="23"/>
      <c r="J79" s="23"/>
      <c r="K79" s="23">
        <v>2595332</v>
      </c>
      <c r="L79" s="92" t="s">
        <v>390</v>
      </c>
      <c r="M79" s="118">
        <v>50000</v>
      </c>
      <c r="N79" s="118">
        <f>2595332-50000</f>
        <v>2545332</v>
      </c>
      <c r="O79" s="23"/>
      <c r="P79" s="23">
        <f t="shared" si="18"/>
        <v>0</v>
      </c>
      <c r="Q79" s="23"/>
      <c r="R79" s="23">
        <v>0</v>
      </c>
      <c r="S79" s="23"/>
      <c r="T79" s="23">
        <f t="shared" si="19"/>
        <v>0</v>
      </c>
      <c r="U79" s="23"/>
      <c r="V79" s="23">
        <v>0</v>
      </c>
    </row>
    <row r="80" spans="1:22" ht="42.75" x14ac:dyDescent="0.25">
      <c r="A80" s="241">
        <v>11</v>
      </c>
      <c r="B80" s="44" t="s">
        <v>343</v>
      </c>
      <c r="C80" s="54">
        <f>C81</f>
        <v>0</v>
      </c>
      <c r="D80" s="54">
        <f>D81</f>
        <v>215865</v>
      </c>
      <c r="E80" s="54">
        <f>E81</f>
        <v>0</v>
      </c>
      <c r="F80" s="54">
        <f>F81</f>
        <v>139200</v>
      </c>
      <c r="G80" s="23"/>
      <c r="H80" s="45">
        <f>I80+J80</f>
        <v>0</v>
      </c>
      <c r="I80" s="77">
        <f>I81</f>
        <v>0</v>
      </c>
      <c r="J80" s="77">
        <f t="shared" ref="J80:K80" si="20">J81</f>
        <v>0</v>
      </c>
      <c r="K80" s="77">
        <f t="shared" si="20"/>
        <v>288796.32</v>
      </c>
      <c r="L80" s="100"/>
      <c r="M80" s="101"/>
      <c r="N80" s="101"/>
      <c r="O80" s="77"/>
      <c r="P80" s="77">
        <f>Q80+R80</f>
        <v>288796.32</v>
      </c>
      <c r="Q80" s="77">
        <f>Q81</f>
        <v>0</v>
      </c>
      <c r="R80" s="77">
        <f>R81</f>
        <v>288796.32</v>
      </c>
      <c r="S80" s="77"/>
      <c r="T80" s="77">
        <f>U80+V80</f>
        <v>288796.32</v>
      </c>
      <c r="U80" s="77">
        <f>U81</f>
        <v>0</v>
      </c>
      <c r="V80" s="77">
        <f>V81</f>
        <v>288796.32</v>
      </c>
    </row>
    <row r="81" spans="1:22" ht="30" x14ac:dyDescent="0.25">
      <c r="A81" s="243">
        <v>1</v>
      </c>
      <c r="B81" s="14"/>
      <c r="C81" s="97"/>
      <c r="D81" s="98">
        <v>215865</v>
      </c>
      <c r="E81" s="98"/>
      <c r="F81" s="98">
        <v>139200</v>
      </c>
      <c r="G81" s="104"/>
      <c r="H81" s="8">
        <f>I81+J81</f>
        <v>0</v>
      </c>
      <c r="I81" s="23">
        <v>0</v>
      </c>
      <c r="J81" s="23"/>
      <c r="K81" s="23">
        <v>288796.32</v>
      </c>
      <c r="L81" s="100" t="s">
        <v>344</v>
      </c>
      <c r="M81" s="101"/>
      <c r="N81" s="101"/>
      <c r="O81" s="23"/>
      <c r="P81" s="23">
        <f>Q81+R81</f>
        <v>288796.32</v>
      </c>
      <c r="Q81" s="23"/>
      <c r="R81" s="23">
        <v>288796.32</v>
      </c>
      <c r="S81" s="23"/>
      <c r="T81" s="23">
        <v>288796.32</v>
      </c>
      <c r="U81" s="23"/>
      <c r="V81" s="23">
        <v>288796.32</v>
      </c>
    </row>
    <row r="82" spans="1:22" x14ac:dyDescent="0.25">
      <c r="A82" s="243"/>
      <c r="B82" s="14"/>
      <c r="C82" s="97"/>
      <c r="D82" s="97"/>
      <c r="E82" s="97"/>
      <c r="F82" s="97"/>
      <c r="G82" s="104"/>
      <c r="H82" s="8"/>
      <c r="I82" s="23"/>
      <c r="J82" s="23"/>
      <c r="K82" s="23"/>
      <c r="L82" s="100"/>
      <c r="M82" s="101"/>
      <c r="N82" s="101"/>
      <c r="O82" s="23"/>
      <c r="P82" s="23"/>
      <c r="Q82" s="23"/>
      <c r="R82" s="23"/>
      <c r="S82" s="23"/>
      <c r="T82" s="23"/>
      <c r="U82" s="23"/>
      <c r="V82" s="23"/>
    </row>
    <row r="83" spans="1:22" x14ac:dyDescent="0.25">
      <c r="A83" s="237"/>
      <c r="B83" s="120" t="s">
        <v>14</v>
      </c>
      <c r="C83" s="121">
        <f>C12+C15+C17+C21+C25+C27+C32+C37+C66+C74+C80</f>
        <v>183600</v>
      </c>
      <c r="D83" s="121">
        <f t="shared" ref="D83:F83" si="21">D12+D15+D17+D21+D25+D27+D32+D37+D66+D74+D80</f>
        <v>15483630.850000001</v>
      </c>
      <c r="E83" s="121">
        <f t="shared" si="21"/>
        <v>51144</v>
      </c>
      <c r="F83" s="121">
        <f t="shared" si="21"/>
        <v>9429683.1899999995</v>
      </c>
      <c r="G83" s="17">
        <f>SUM(G12+G15+G17+G21+G25)</f>
        <v>513300</v>
      </c>
      <c r="H83" s="17">
        <f>H12+H15+H17+H21+H25+H27+H32+H37+H66+H74+H80</f>
        <v>12383862.130000001</v>
      </c>
      <c r="I83" s="17">
        <f t="shared" ref="I83:V83" si="22">I12+I15+I17+I21+I25+I27+I32+I37+I66+I74+I80</f>
        <v>128325</v>
      </c>
      <c r="J83" s="17">
        <f t="shared" si="22"/>
        <v>12255537.130000001</v>
      </c>
      <c r="K83" s="17">
        <f t="shared" si="22"/>
        <v>8749419.4486999996</v>
      </c>
      <c r="L83" s="16"/>
      <c r="M83" s="18">
        <f>SUM(M12:M82)</f>
        <v>2050000</v>
      </c>
      <c r="N83" s="18">
        <f>SUM(N25:N82)</f>
        <v>2545332</v>
      </c>
      <c r="O83" s="17">
        <f t="shared" si="22"/>
        <v>54900</v>
      </c>
      <c r="P83" s="17">
        <f t="shared" si="22"/>
        <v>10831899.9987</v>
      </c>
      <c r="Q83" s="17">
        <f t="shared" si="22"/>
        <v>13725</v>
      </c>
      <c r="R83" s="17">
        <f t="shared" si="22"/>
        <v>10818174.9987</v>
      </c>
      <c r="S83" s="17">
        <f t="shared" si="22"/>
        <v>494800</v>
      </c>
      <c r="T83" s="17">
        <f t="shared" si="22"/>
        <v>10639299.9987</v>
      </c>
      <c r="U83" s="17">
        <f t="shared" si="22"/>
        <v>123700</v>
      </c>
      <c r="V83" s="17">
        <f t="shared" si="22"/>
        <v>10515599.998700002</v>
      </c>
    </row>
  </sheetData>
  <customSheetViews>
    <customSheetView guid="{F55D2626-B25D-4865-88D7-A4040A583D45}" scale="90" showPageBreaks="1" fitToPage="1" topLeftCell="D1">
      <pane ySplit="11" topLeftCell="A72" activePane="bottomLeft" state="frozen"/>
      <selection pane="bottomLeft" activeCell="M83" sqref="M83:N83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"/>
    </customSheetView>
    <customSheetView guid="{9D6C8421-31F4-449D-B427-1D13044E970D}" scale="90" showPageBreaks="1" fitToPage="1" topLeftCell="D1">
      <pane ySplit="11" topLeftCell="A67" activePane="bottomLeft" state="frozen"/>
      <selection pane="bottomLeft" activeCell="M74" sqref="M74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H77" sqref="H7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1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71" activePane="bottomLeft" state="frozen"/>
      <selection pane="bottomLeft" activeCell="G39" sqref="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75" activePane="bottomLeft" state="frozen"/>
      <selection pane="bottomLeft" activeCell="A12" sqref="A12:XFD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1" activePane="bottomLeft" state="frozen"/>
      <selection pane="bottomLeft" activeCell="A12" sqref="A12:XFD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57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57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1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10" fitToHeight="2" orientation="landscape" verticalDpi="180" r:id="rId10"/>
    </customSheetView>
    <customSheetView guid="{887BBBC8-E1A3-4468-951B-36A5511E64E6}" scale="90" showPageBreaks="1" fitToPage="1">
      <pane ySplit="11" topLeftCell="A21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81" activePane="bottomLeft" state="frozen"/>
      <selection pane="bottomLeft" activeCell="G73" sqref="G7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57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57" activePane="bottomLeft" state="frozen"/>
      <selection pane="bottomLeft" activeCell="F36" sqref="F36"/>
      <pageMargins left="0.31496062992125984" right="0.31496062992125984" top="0.35433070866141736" bottom="0.35433070866141736" header="0.31496062992125984" footer="0.31496062992125984"/>
      <pageSetup paperSize="9" scale="14" fitToHeight="2" orientation="landscape" verticalDpi="180" r:id="rId14"/>
    </customSheetView>
    <customSheetView guid="{5E847525-B5B0-4151-9870-F971B482221C}" scale="90" showPageBreaks="1" fitToPage="1">
      <pane ySplit="11" topLeftCell="A36" activePane="bottomLeft" state="frozen"/>
      <selection pane="bottomLeft" activeCell="G39" sqref="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71" activePane="bottomRight" state="frozen"/>
      <selection pane="bottomRight" activeCell="F77" sqref="F77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6"/>
    </customSheetView>
  </customSheetViews>
  <mergeCells count="33">
    <mergeCell ref="I9:I10"/>
    <mergeCell ref="P8:P10"/>
    <mergeCell ref="Q9:Q10"/>
    <mergeCell ref="K8:K10"/>
    <mergeCell ref="A2:V2"/>
    <mergeCell ref="A4:V4"/>
    <mergeCell ref="A6:A10"/>
    <mergeCell ref="B6:B10"/>
    <mergeCell ref="G6:L6"/>
    <mergeCell ref="O6:R6"/>
    <mergeCell ref="S6:V6"/>
    <mergeCell ref="G7:G10"/>
    <mergeCell ref="H7:J7"/>
    <mergeCell ref="K7:L7"/>
    <mergeCell ref="H8:H10"/>
    <mergeCell ref="I8:J8"/>
    <mergeCell ref="C6:F6"/>
    <mergeCell ref="C7:D9"/>
    <mergeCell ref="E7:F9"/>
    <mergeCell ref="R9:R10"/>
    <mergeCell ref="V9:V10"/>
    <mergeCell ref="U8:V8"/>
    <mergeCell ref="J9:J10"/>
    <mergeCell ref="L8:L10"/>
    <mergeCell ref="T8:T10"/>
    <mergeCell ref="U9:U10"/>
    <mergeCell ref="O7:O10"/>
    <mergeCell ref="P7:R7"/>
    <mergeCell ref="S7:S10"/>
    <mergeCell ref="T7:V7"/>
    <mergeCell ref="Q8:R8"/>
    <mergeCell ref="M6:M10"/>
    <mergeCell ref="N6:N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39"/>
  <sheetViews>
    <sheetView zoomScale="90" zoomScaleNormal="90" workbookViewId="0">
      <pane ySplit="11" topLeftCell="A23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7" width="19.5703125" style="2" customWidth="1"/>
    <col min="8" max="8" width="56.42578125" style="2" customWidth="1"/>
    <col min="9" max="10" width="27.28515625" style="2" customWidth="1"/>
    <col min="11" max="11" width="19.5703125" style="2" customWidth="1"/>
    <col min="12" max="12" width="17.5703125" style="2" customWidth="1"/>
    <col min="13" max="18" width="19.5703125" style="2" customWidth="1"/>
    <col min="19" max="20" width="9.140625" style="19"/>
    <col min="21" max="16384" width="9.140625" style="2"/>
  </cols>
  <sheetData>
    <row r="2" spans="1:18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ht="6" customHeight="1" x14ac:dyDescent="0.3"/>
    <row r="4" spans="1:18" s="19" customFormat="1" ht="42.75" customHeight="1" x14ac:dyDescent="0.25">
      <c r="A4" s="333" t="s">
        <v>91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</row>
    <row r="5" spans="1:18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0"/>
      <c r="L5" s="20"/>
      <c r="M5" s="20"/>
      <c r="N5" s="20"/>
      <c r="O5" s="20"/>
      <c r="P5" s="20"/>
      <c r="Q5" s="20"/>
      <c r="R5" s="20"/>
    </row>
    <row r="6" spans="1:18" s="19" customFormat="1" ht="33.75" customHeight="1" x14ac:dyDescent="0.25">
      <c r="A6" s="270" t="s">
        <v>0</v>
      </c>
      <c r="B6" s="271" t="s">
        <v>28</v>
      </c>
      <c r="C6" s="292" t="s">
        <v>21</v>
      </c>
      <c r="D6" s="293"/>
      <c r="E6" s="293"/>
      <c r="F6" s="293"/>
      <c r="G6" s="293"/>
      <c r="H6" s="294"/>
      <c r="I6" s="285" t="s">
        <v>447</v>
      </c>
      <c r="J6" s="285" t="s">
        <v>448</v>
      </c>
      <c r="K6" s="277" t="s">
        <v>22</v>
      </c>
      <c r="L6" s="277"/>
      <c r="M6" s="277"/>
      <c r="N6" s="277"/>
      <c r="O6" s="277" t="s">
        <v>41</v>
      </c>
      <c r="P6" s="277"/>
      <c r="Q6" s="277"/>
      <c r="R6" s="277"/>
    </row>
    <row r="7" spans="1:18" s="19" customFormat="1" ht="47.25" customHeight="1" x14ac:dyDescent="0.25">
      <c r="A7" s="270"/>
      <c r="B7" s="271"/>
      <c r="C7" s="283" t="s">
        <v>8</v>
      </c>
      <c r="D7" s="274" t="s">
        <v>23</v>
      </c>
      <c r="E7" s="275"/>
      <c r="F7" s="275"/>
      <c r="G7" s="271" t="s">
        <v>24</v>
      </c>
      <c r="H7" s="271"/>
      <c r="I7" s="286"/>
      <c r="J7" s="286"/>
      <c r="K7" s="271" t="s">
        <v>8</v>
      </c>
      <c r="L7" s="274" t="s">
        <v>23</v>
      </c>
      <c r="M7" s="275"/>
      <c r="N7" s="275"/>
      <c r="O7" s="271" t="s">
        <v>8</v>
      </c>
      <c r="P7" s="276" t="s">
        <v>23</v>
      </c>
      <c r="Q7" s="276"/>
      <c r="R7" s="276"/>
    </row>
    <row r="8" spans="1:18" s="19" customFormat="1" ht="18.75" customHeight="1" x14ac:dyDescent="0.25">
      <c r="A8" s="270"/>
      <c r="B8" s="271"/>
      <c r="C8" s="283"/>
      <c r="D8" s="271" t="s">
        <v>15</v>
      </c>
      <c r="E8" s="276" t="s">
        <v>16</v>
      </c>
      <c r="F8" s="276"/>
      <c r="G8" s="288" t="s">
        <v>9</v>
      </c>
      <c r="H8" s="272" t="s">
        <v>20</v>
      </c>
      <c r="I8" s="286"/>
      <c r="J8" s="286"/>
      <c r="K8" s="271"/>
      <c r="L8" s="271" t="s">
        <v>15</v>
      </c>
      <c r="M8" s="276" t="s">
        <v>16</v>
      </c>
      <c r="N8" s="276"/>
      <c r="O8" s="271"/>
      <c r="P8" s="271" t="s">
        <v>15</v>
      </c>
      <c r="Q8" s="276" t="s">
        <v>16</v>
      </c>
      <c r="R8" s="276"/>
    </row>
    <row r="9" spans="1:18" s="19" customFormat="1" ht="39.75" customHeight="1" x14ac:dyDescent="0.25">
      <c r="A9" s="270"/>
      <c r="B9" s="271"/>
      <c r="C9" s="283"/>
      <c r="D9" s="271"/>
      <c r="E9" s="271" t="s">
        <v>17</v>
      </c>
      <c r="F9" s="272" t="s">
        <v>18</v>
      </c>
      <c r="G9" s="289"/>
      <c r="H9" s="284"/>
      <c r="I9" s="286"/>
      <c r="J9" s="286"/>
      <c r="K9" s="271"/>
      <c r="L9" s="271"/>
      <c r="M9" s="271" t="s">
        <v>17</v>
      </c>
      <c r="N9" s="272" t="s">
        <v>18</v>
      </c>
      <c r="O9" s="271"/>
      <c r="P9" s="271"/>
      <c r="Q9" s="271" t="s">
        <v>17</v>
      </c>
      <c r="R9" s="272" t="s">
        <v>18</v>
      </c>
    </row>
    <row r="10" spans="1:18" s="19" customFormat="1" ht="37.5" customHeight="1" x14ac:dyDescent="0.25">
      <c r="A10" s="270"/>
      <c r="B10" s="271"/>
      <c r="C10" s="283"/>
      <c r="D10" s="271"/>
      <c r="E10" s="271"/>
      <c r="F10" s="273"/>
      <c r="G10" s="290"/>
      <c r="H10" s="273"/>
      <c r="I10" s="287"/>
      <c r="J10" s="287"/>
      <c r="K10" s="271"/>
      <c r="L10" s="271"/>
      <c r="M10" s="271"/>
      <c r="N10" s="273"/>
      <c r="O10" s="271"/>
      <c r="P10" s="271"/>
      <c r="Q10" s="271"/>
      <c r="R10" s="273"/>
    </row>
    <row r="11" spans="1:18" s="245" customFormat="1" ht="16.5" customHeight="1" x14ac:dyDescent="0.3">
      <c r="A11" s="233">
        <v>1</v>
      </c>
      <c r="B11" s="238">
        <v>2</v>
      </c>
      <c r="C11" s="244">
        <v>3</v>
      </c>
      <c r="D11" s="233">
        <v>4</v>
      </c>
      <c r="E11" s="238">
        <v>5</v>
      </c>
      <c r="F11" s="244">
        <v>6</v>
      </c>
      <c r="G11" s="238">
        <v>7</v>
      </c>
      <c r="H11" s="244">
        <v>8</v>
      </c>
      <c r="I11" s="249"/>
      <c r="J11" s="249"/>
      <c r="K11" s="244">
        <v>9</v>
      </c>
      <c r="L11" s="233">
        <v>10</v>
      </c>
      <c r="M11" s="238">
        <v>11</v>
      </c>
      <c r="N11" s="244">
        <v>12</v>
      </c>
      <c r="O11" s="244">
        <v>13</v>
      </c>
      <c r="P11" s="233">
        <v>14</v>
      </c>
      <c r="Q11" s="238">
        <v>15</v>
      </c>
      <c r="R11" s="244">
        <v>16</v>
      </c>
    </row>
    <row r="12" spans="1:18" s="25" customFormat="1" ht="45" x14ac:dyDescent="0.25">
      <c r="A12" s="241">
        <v>1</v>
      </c>
      <c r="B12" s="22" t="s">
        <v>42</v>
      </c>
      <c r="C12" s="23">
        <f>C14+C15+C16+C17+C18</f>
        <v>0</v>
      </c>
      <c r="D12" s="23">
        <f>E12+F12</f>
        <v>0</v>
      </c>
      <c r="E12" s="23">
        <f t="shared" ref="E12:R12" si="0">E14+E15+E16+E17+E18</f>
        <v>0</v>
      </c>
      <c r="F12" s="23">
        <f t="shared" si="0"/>
        <v>0</v>
      </c>
      <c r="G12" s="23">
        <f t="shared" si="0"/>
        <v>0</v>
      </c>
      <c r="H12" s="24"/>
      <c r="I12" s="73"/>
      <c r="J12" s="73"/>
      <c r="K12" s="23">
        <f t="shared" si="0"/>
        <v>0</v>
      </c>
      <c r="L12" s="23">
        <f>M12+N12</f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3">
        <f>Q12+R12</f>
        <v>0</v>
      </c>
      <c r="Q12" s="23">
        <f t="shared" si="0"/>
        <v>0</v>
      </c>
      <c r="R12" s="23">
        <f t="shared" si="0"/>
        <v>0</v>
      </c>
    </row>
    <row r="13" spans="1:18" s="25" customFormat="1" x14ac:dyDescent="0.25">
      <c r="A13" s="242"/>
      <c r="B13" s="27" t="s">
        <v>1</v>
      </c>
      <c r="C13" s="23"/>
      <c r="D13" s="23">
        <f t="shared" ref="D13:D18" si="1">E13+F13</f>
        <v>0</v>
      </c>
      <c r="E13" s="23"/>
      <c r="F13" s="23"/>
      <c r="G13" s="23"/>
      <c r="H13" s="24"/>
      <c r="I13" s="73"/>
      <c r="J13" s="73"/>
      <c r="K13" s="23"/>
      <c r="L13" s="23">
        <f t="shared" ref="L13:L18" si="2">M13+N13</f>
        <v>0</v>
      </c>
      <c r="M13" s="23"/>
      <c r="N13" s="23"/>
      <c r="O13" s="23"/>
      <c r="P13" s="23">
        <f t="shared" ref="P13:P18" si="3">Q13+R13</f>
        <v>0</v>
      </c>
      <c r="Q13" s="23"/>
      <c r="R13" s="23"/>
    </row>
    <row r="14" spans="1:18" s="29" customFormat="1" x14ac:dyDescent="0.25">
      <c r="A14" s="243" t="s">
        <v>4</v>
      </c>
      <c r="B14" s="28" t="s">
        <v>2</v>
      </c>
      <c r="C14" s="23"/>
      <c r="D14" s="23">
        <f t="shared" si="1"/>
        <v>0</v>
      </c>
      <c r="E14" s="23"/>
      <c r="F14" s="23"/>
      <c r="G14" s="23"/>
      <c r="H14" s="24"/>
      <c r="I14" s="73"/>
      <c r="J14" s="73"/>
      <c r="K14" s="23"/>
      <c r="L14" s="23">
        <f t="shared" si="2"/>
        <v>0</v>
      </c>
      <c r="M14" s="23"/>
      <c r="N14" s="23"/>
      <c r="O14" s="23"/>
      <c r="P14" s="23">
        <f t="shared" si="3"/>
        <v>0</v>
      </c>
      <c r="Q14" s="23"/>
      <c r="R14" s="23"/>
    </row>
    <row r="15" spans="1:18" s="29" customFormat="1" ht="30" x14ac:dyDescent="0.25">
      <c r="A15" s="243" t="s">
        <v>5</v>
      </c>
      <c r="B15" s="30" t="s">
        <v>10</v>
      </c>
      <c r="C15" s="23"/>
      <c r="D15" s="23">
        <f t="shared" si="1"/>
        <v>0</v>
      </c>
      <c r="E15" s="23"/>
      <c r="F15" s="23"/>
      <c r="G15" s="23"/>
      <c r="H15" s="28"/>
      <c r="I15" s="74"/>
      <c r="J15" s="74"/>
      <c r="K15" s="23"/>
      <c r="L15" s="23">
        <f t="shared" si="2"/>
        <v>0</v>
      </c>
      <c r="M15" s="23"/>
      <c r="N15" s="23"/>
      <c r="O15" s="23"/>
      <c r="P15" s="23">
        <f t="shared" si="3"/>
        <v>0</v>
      </c>
      <c r="Q15" s="23"/>
      <c r="R15" s="23"/>
    </row>
    <row r="16" spans="1:18" s="29" customFormat="1" ht="30" x14ac:dyDescent="0.25">
      <c r="A16" s="243" t="s">
        <v>6</v>
      </c>
      <c r="B16" s="30" t="s">
        <v>11</v>
      </c>
      <c r="C16" s="23"/>
      <c r="D16" s="23">
        <f t="shared" si="1"/>
        <v>0</v>
      </c>
      <c r="E16" s="23"/>
      <c r="F16" s="23"/>
      <c r="G16" s="23"/>
      <c r="H16" s="28"/>
      <c r="I16" s="74"/>
      <c r="J16" s="74"/>
      <c r="K16" s="23"/>
      <c r="L16" s="23">
        <f t="shared" si="2"/>
        <v>0</v>
      </c>
      <c r="M16" s="23"/>
      <c r="N16" s="23"/>
      <c r="O16" s="23"/>
      <c r="P16" s="23">
        <f t="shared" si="3"/>
        <v>0</v>
      </c>
      <c r="Q16" s="23"/>
      <c r="R16" s="23"/>
    </row>
    <row r="17" spans="1:18" s="29" customFormat="1" ht="30" x14ac:dyDescent="0.25">
      <c r="A17" s="243" t="s">
        <v>7</v>
      </c>
      <c r="B17" s="30" t="s">
        <v>13</v>
      </c>
      <c r="C17" s="31"/>
      <c r="D17" s="23">
        <f t="shared" si="1"/>
        <v>0</v>
      </c>
      <c r="E17" s="31"/>
      <c r="F17" s="31"/>
      <c r="G17" s="31"/>
      <c r="H17" s="32"/>
      <c r="I17" s="75"/>
      <c r="J17" s="75"/>
      <c r="K17" s="31"/>
      <c r="L17" s="23">
        <f t="shared" si="2"/>
        <v>0</v>
      </c>
      <c r="M17" s="31"/>
      <c r="N17" s="31"/>
      <c r="O17" s="31"/>
      <c r="P17" s="23">
        <f t="shared" si="3"/>
        <v>0</v>
      </c>
      <c r="Q17" s="31"/>
      <c r="R17" s="31"/>
    </row>
    <row r="18" spans="1:18" s="29" customFormat="1" ht="30" x14ac:dyDescent="0.25">
      <c r="A18" s="243" t="s">
        <v>12</v>
      </c>
      <c r="B18" s="30" t="s">
        <v>3</v>
      </c>
      <c r="C18" s="23"/>
      <c r="D18" s="23">
        <f t="shared" si="1"/>
        <v>0</v>
      </c>
      <c r="E18" s="23"/>
      <c r="F18" s="23"/>
      <c r="G18" s="23"/>
      <c r="H18" s="33"/>
      <c r="I18" s="76"/>
      <c r="J18" s="76"/>
      <c r="K18" s="23"/>
      <c r="L18" s="23">
        <f t="shared" si="2"/>
        <v>0</v>
      </c>
      <c r="M18" s="23"/>
      <c r="N18" s="23"/>
      <c r="O18" s="23"/>
      <c r="P18" s="23">
        <f t="shared" si="3"/>
        <v>0</v>
      </c>
      <c r="Q18" s="23"/>
      <c r="R18" s="23"/>
    </row>
    <row r="19" spans="1:18" s="29" customFormat="1" ht="30" x14ac:dyDescent="0.25">
      <c r="A19" s="241">
        <v>2</v>
      </c>
      <c r="B19" s="22" t="s">
        <v>29</v>
      </c>
      <c r="C19" s="23">
        <f>C21+C22+C23+C24+C25</f>
        <v>0</v>
      </c>
      <c r="D19" s="23">
        <f>E19+F19</f>
        <v>0</v>
      </c>
      <c r="E19" s="23">
        <f t="shared" ref="E19:G19" si="4">E21+E22+E23+E24+E25</f>
        <v>0</v>
      </c>
      <c r="F19" s="23">
        <f t="shared" si="4"/>
        <v>0</v>
      </c>
      <c r="G19" s="23">
        <f t="shared" si="4"/>
        <v>0</v>
      </c>
      <c r="H19" s="24"/>
      <c r="I19" s="73"/>
      <c r="J19" s="73"/>
      <c r="K19" s="23">
        <f t="shared" ref="K19" si="5">K21+K22+K23+K24+K25</f>
        <v>0</v>
      </c>
      <c r="L19" s="23">
        <f>M19+N19</f>
        <v>0</v>
      </c>
      <c r="M19" s="23">
        <f t="shared" ref="M19:O19" si="6">M21+M22+M23+M24+M25</f>
        <v>0</v>
      </c>
      <c r="N19" s="23">
        <f t="shared" si="6"/>
        <v>0</v>
      </c>
      <c r="O19" s="23">
        <f t="shared" si="6"/>
        <v>0</v>
      </c>
      <c r="P19" s="23">
        <f>Q19+R19</f>
        <v>0</v>
      </c>
      <c r="Q19" s="23">
        <f t="shared" ref="Q19:R19" si="7">Q21+Q22+Q23+Q24+Q25</f>
        <v>0</v>
      </c>
      <c r="R19" s="23">
        <f t="shared" si="7"/>
        <v>0</v>
      </c>
    </row>
    <row r="20" spans="1:18" s="25" customFormat="1" x14ac:dyDescent="0.25">
      <c r="A20" s="242"/>
      <c r="B20" s="27" t="s">
        <v>1</v>
      </c>
      <c r="C20" s="23"/>
      <c r="D20" s="23">
        <f t="shared" ref="D20:D37" si="8">E20+F20</f>
        <v>0</v>
      </c>
      <c r="E20" s="23"/>
      <c r="F20" s="23"/>
      <c r="G20" s="23"/>
      <c r="H20" s="24"/>
      <c r="I20" s="73"/>
      <c r="J20" s="73"/>
      <c r="K20" s="23"/>
      <c r="L20" s="23">
        <f t="shared" ref="L20:L37" si="9">M20+N20</f>
        <v>0</v>
      </c>
      <c r="M20" s="23"/>
      <c r="N20" s="23"/>
      <c r="O20" s="23"/>
      <c r="P20" s="23">
        <f t="shared" ref="P20:P37" si="10">Q20+R20</f>
        <v>0</v>
      </c>
      <c r="Q20" s="23"/>
      <c r="R20" s="23"/>
    </row>
    <row r="21" spans="1:18" s="25" customFormat="1" x14ac:dyDescent="0.25">
      <c r="A21" s="243" t="s">
        <v>4</v>
      </c>
      <c r="B21" s="28" t="s">
        <v>2</v>
      </c>
      <c r="C21" s="23"/>
      <c r="D21" s="23">
        <f t="shared" si="8"/>
        <v>0</v>
      </c>
      <c r="E21" s="23"/>
      <c r="F21" s="23"/>
      <c r="G21" s="23"/>
      <c r="H21" s="24"/>
      <c r="I21" s="73"/>
      <c r="J21" s="73"/>
      <c r="K21" s="23"/>
      <c r="L21" s="23">
        <f t="shared" si="9"/>
        <v>0</v>
      </c>
      <c r="M21" s="23"/>
      <c r="N21" s="23"/>
      <c r="O21" s="23"/>
      <c r="P21" s="23">
        <f t="shared" si="10"/>
        <v>0</v>
      </c>
      <c r="Q21" s="23"/>
      <c r="R21" s="23"/>
    </row>
    <row r="22" spans="1:18" s="25" customFormat="1" ht="53.45" customHeight="1" x14ac:dyDescent="0.25">
      <c r="A22" s="243" t="s">
        <v>5</v>
      </c>
      <c r="B22" s="30" t="s">
        <v>10</v>
      </c>
      <c r="C22" s="23"/>
      <c r="D22" s="23">
        <f t="shared" si="8"/>
        <v>0</v>
      </c>
      <c r="E22" s="23"/>
      <c r="F22" s="23"/>
      <c r="G22" s="23"/>
      <c r="H22" s="28"/>
      <c r="I22" s="74"/>
      <c r="J22" s="74"/>
      <c r="K22" s="23"/>
      <c r="L22" s="23">
        <f t="shared" si="9"/>
        <v>0</v>
      </c>
      <c r="M22" s="23"/>
      <c r="N22" s="23"/>
      <c r="O22" s="23"/>
      <c r="P22" s="23">
        <f t="shared" si="10"/>
        <v>0</v>
      </c>
      <c r="Q22" s="23"/>
      <c r="R22" s="23"/>
    </row>
    <row r="23" spans="1:18" s="29" customFormat="1" ht="30" x14ac:dyDescent="0.25">
      <c r="A23" s="243" t="s">
        <v>6</v>
      </c>
      <c r="B23" s="30" t="s">
        <v>11</v>
      </c>
      <c r="C23" s="23"/>
      <c r="D23" s="23">
        <f t="shared" si="8"/>
        <v>0</v>
      </c>
      <c r="E23" s="23"/>
      <c r="F23" s="23"/>
      <c r="G23" s="23"/>
      <c r="H23" s="28"/>
      <c r="I23" s="74"/>
      <c r="J23" s="74"/>
      <c r="K23" s="23"/>
      <c r="L23" s="23">
        <f t="shared" si="9"/>
        <v>0</v>
      </c>
      <c r="M23" s="23"/>
      <c r="N23" s="23"/>
      <c r="O23" s="23"/>
      <c r="P23" s="23">
        <f t="shared" si="10"/>
        <v>0</v>
      </c>
      <c r="Q23" s="23"/>
      <c r="R23" s="23"/>
    </row>
    <row r="24" spans="1:18" s="29" customFormat="1" ht="30" x14ac:dyDescent="0.25">
      <c r="A24" s="243" t="s">
        <v>7</v>
      </c>
      <c r="B24" s="30" t="s">
        <v>13</v>
      </c>
      <c r="C24" s="31"/>
      <c r="D24" s="23">
        <f t="shared" si="8"/>
        <v>0</v>
      </c>
      <c r="E24" s="31"/>
      <c r="F24" s="31"/>
      <c r="G24" s="31"/>
      <c r="H24" s="32"/>
      <c r="I24" s="75"/>
      <c r="J24" s="75"/>
      <c r="K24" s="31"/>
      <c r="L24" s="23">
        <f t="shared" si="9"/>
        <v>0</v>
      </c>
      <c r="M24" s="31"/>
      <c r="N24" s="31"/>
      <c r="O24" s="31"/>
      <c r="P24" s="23">
        <f t="shared" si="10"/>
        <v>0</v>
      </c>
      <c r="Q24" s="31"/>
      <c r="R24" s="31"/>
    </row>
    <row r="25" spans="1:18" s="29" customFormat="1" ht="30" x14ac:dyDescent="0.25">
      <c r="A25" s="243" t="s">
        <v>12</v>
      </c>
      <c r="B25" s="30" t="s">
        <v>3</v>
      </c>
      <c r="C25" s="23"/>
      <c r="D25" s="23">
        <f t="shared" si="8"/>
        <v>0</v>
      </c>
      <c r="E25" s="23"/>
      <c r="F25" s="23"/>
      <c r="G25" s="23"/>
      <c r="H25" s="33"/>
      <c r="I25" s="76"/>
      <c r="J25" s="76"/>
      <c r="K25" s="23"/>
      <c r="L25" s="23">
        <f t="shared" si="9"/>
        <v>0</v>
      </c>
      <c r="M25" s="23"/>
      <c r="N25" s="23"/>
      <c r="O25" s="23"/>
      <c r="P25" s="23">
        <f t="shared" si="10"/>
        <v>0</v>
      </c>
      <c r="Q25" s="23"/>
      <c r="R25" s="23"/>
    </row>
    <row r="26" spans="1:18" s="11" customFormat="1" ht="13.9" x14ac:dyDescent="0.25">
      <c r="A26" s="234">
        <v>3</v>
      </c>
      <c r="B26" s="13"/>
      <c r="C26" s="8"/>
      <c r="D26" s="8">
        <f t="shared" si="8"/>
        <v>0</v>
      </c>
      <c r="E26" s="8"/>
      <c r="F26" s="8"/>
      <c r="G26" s="8"/>
      <c r="H26" s="34"/>
      <c r="I26" s="42"/>
      <c r="J26" s="42"/>
      <c r="K26" s="8"/>
      <c r="L26" s="8">
        <f t="shared" si="9"/>
        <v>0</v>
      </c>
      <c r="M26" s="8"/>
      <c r="N26" s="8"/>
      <c r="O26" s="8"/>
      <c r="P26" s="8">
        <f t="shared" si="10"/>
        <v>0</v>
      </c>
      <c r="Q26" s="8"/>
      <c r="R26" s="8"/>
    </row>
    <row r="27" spans="1:18" s="11" customFormat="1" ht="13.9" x14ac:dyDescent="0.25">
      <c r="A27" s="234">
        <v>4</v>
      </c>
      <c r="B27" s="13"/>
      <c r="C27" s="8"/>
      <c r="D27" s="8">
        <f t="shared" si="8"/>
        <v>0</v>
      </c>
      <c r="E27" s="8"/>
      <c r="F27" s="8"/>
      <c r="G27" s="8"/>
      <c r="H27" s="34"/>
      <c r="I27" s="42"/>
      <c r="J27" s="42"/>
      <c r="K27" s="8"/>
      <c r="L27" s="8">
        <f t="shared" si="9"/>
        <v>0</v>
      </c>
      <c r="M27" s="8"/>
      <c r="N27" s="8"/>
      <c r="O27" s="8"/>
      <c r="P27" s="8">
        <f t="shared" si="10"/>
        <v>0</v>
      </c>
      <c r="Q27" s="8"/>
      <c r="R27" s="8"/>
    </row>
    <row r="28" spans="1:18" s="11" customFormat="1" ht="13.9" x14ac:dyDescent="0.25">
      <c r="A28" s="234">
        <v>5</v>
      </c>
      <c r="B28" s="13"/>
      <c r="C28" s="8"/>
      <c r="D28" s="8">
        <f t="shared" si="8"/>
        <v>0</v>
      </c>
      <c r="E28" s="8"/>
      <c r="F28" s="8"/>
      <c r="G28" s="8"/>
      <c r="H28" s="34"/>
      <c r="I28" s="42"/>
      <c r="J28" s="42"/>
      <c r="K28" s="8"/>
      <c r="L28" s="8">
        <f t="shared" si="9"/>
        <v>0</v>
      </c>
      <c r="M28" s="8"/>
      <c r="N28" s="8"/>
      <c r="O28" s="8"/>
      <c r="P28" s="8">
        <f t="shared" si="10"/>
        <v>0</v>
      </c>
      <c r="Q28" s="8"/>
      <c r="R28" s="8"/>
    </row>
    <row r="29" spans="1:18" s="19" customFormat="1" ht="14.45" x14ac:dyDescent="0.3">
      <c r="A29" s="234">
        <v>6</v>
      </c>
      <c r="B29" s="13"/>
      <c r="C29" s="8"/>
      <c r="D29" s="8">
        <f t="shared" si="8"/>
        <v>0</v>
      </c>
      <c r="E29" s="8"/>
      <c r="F29" s="8"/>
      <c r="G29" s="8"/>
      <c r="H29" s="13"/>
      <c r="I29" s="70"/>
      <c r="J29" s="70"/>
      <c r="K29" s="8"/>
      <c r="L29" s="8">
        <f t="shared" si="9"/>
        <v>0</v>
      </c>
      <c r="M29" s="8"/>
      <c r="N29" s="8"/>
      <c r="O29" s="8"/>
      <c r="P29" s="8">
        <f t="shared" si="10"/>
        <v>0</v>
      </c>
      <c r="Q29" s="8"/>
      <c r="R29" s="8"/>
    </row>
    <row r="30" spans="1:18" s="19" customFormat="1" ht="14.45" x14ac:dyDescent="0.3">
      <c r="A30" s="234">
        <v>7</v>
      </c>
      <c r="B30" s="13"/>
      <c r="C30" s="8"/>
      <c r="D30" s="8">
        <f t="shared" si="8"/>
        <v>0</v>
      </c>
      <c r="E30" s="8"/>
      <c r="F30" s="8"/>
      <c r="G30" s="8"/>
      <c r="H30" s="13"/>
      <c r="I30" s="70"/>
      <c r="J30" s="70"/>
      <c r="K30" s="8"/>
      <c r="L30" s="8">
        <f t="shared" si="9"/>
        <v>0</v>
      </c>
      <c r="M30" s="8"/>
      <c r="N30" s="8"/>
      <c r="O30" s="8"/>
      <c r="P30" s="8">
        <f t="shared" si="10"/>
        <v>0</v>
      </c>
      <c r="Q30" s="8"/>
      <c r="R30" s="8"/>
    </row>
    <row r="31" spans="1:18" s="19" customFormat="1" ht="14.45" x14ac:dyDescent="0.3">
      <c r="A31" s="234">
        <v>8</v>
      </c>
      <c r="B31" s="13"/>
      <c r="C31" s="8"/>
      <c r="D31" s="8">
        <f t="shared" si="8"/>
        <v>0</v>
      </c>
      <c r="E31" s="8"/>
      <c r="F31" s="8"/>
      <c r="G31" s="8"/>
      <c r="H31" s="13"/>
      <c r="I31" s="70"/>
      <c r="J31" s="70"/>
      <c r="K31" s="8"/>
      <c r="L31" s="8">
        <f t="shared" si="9"/>
        <v>0</v>
      </c>
      <c r="M31" s="8"/>
      <c r="N31" s="8"/>
      <c r="O31" s="8"/>
      <c r="P31" s="8">
        <f t="shared" si="10"/>
        <v>0</v>
      </c>
      <c r="Q31" s="8"/>
      <c r="R31" s="8"/>
    </row>
    <row r="32" spans="1:18" s="19" customFormat="1" ht="14.45" x14ac:dyDescent="0.3">
      <c r="A32" s="234">
        <v>9</v>
      </c>
      <c r="B32" s="13"/>
      <c r="C32" s="8"/>
      <c r="D32" s="8">
        <f t="shared" si="8"/>
        <v>0</v>
      </c>
      <c r="E32" s="8"/>
      <c r="F32" s="8"/>
      <c r="G32" s="8"/>
      <c r="H32" s="13"/>
      <c r="I32" s="70"/>
      <c r="J32" s="70"/>
      <c r="K32" s="8"/>
      <c r="L32" s="8">
        <f t="shared" si="9"/>
        <v>0</v>
      </c>
      <c r="M32" s="8"/>
      <c r="N32" s="8"/>
      <c r="O32" s="8"/>
      <c r="P32" s="8">
        <f t="shared" si="10"/>
        <v>0</v>
      </c>
      <c r="Q32" s="8"/>
      <c r="R32" s="8"/>
    </row>
    <row r="33" spans="1:18" s="19" customFormat="1" ht="14.45" x14ac:dyDescent="0.3">
      <c r="A33" s="234">
        <v>10</v>
      </c>
      <c r="B33" s="13"/>
      <c r="C33" s="8"/>
      <c r="D33" s="8">
        <f t="shared" si="8"/>
        <v>0</v>
      </c>
      <c r="E33" s="8"/>
      <c r="F33" s="8"/>
      <c r="G33" s="8"/>
      <c r="H33" s="13"/>
      <c r="I33" s="70"/>
      <c r="J33" s="70"/>
      <c r="K33" s="8"/>
      <c r="L33" s="8">
        <f t="shared" si="9"/>
        <v>0</v>
      </c>
      <c r="M33" s="8"/>
      <c r="N33" s="8"/>
      <c r="O33" s="8"/>
      <c r="P33" s="8">
        <f t="shared" si="10"/>
        <v>0</v>
      </c>
      <c r="Q33" s="8"/>
      <c r="R33" s="8"/>
    </row>
    <row r="34" spans="1:18" s="19" customFormat="1" ht="14.45" x14ac:dyDescent="0.3">
      <c r="A34" s="234">
        <v>11</v>
      </c>
      <c r="B34" s="13"/>
      <c r="C34" s="8"/>
      <c r="D34" s="8">
        <f t="shared" si="8"/>
        <v>0</v>
      </c>
      <c r="E34" s="8"/>
      <c r="F34" s="8"/>
      <c r="G34" s="8"/>
      <c r="H34" s="13"/>
      <c r="I34" s="70"/>
      <c r="J34" s="70"/>
      <c r="K34" s="8"/>
      <c r="L34" s="8">
        <f t="shared" si="9"/>
        <v>0</v>
      </c>
      <c r="M34" s="8"/>
      <c r="N34" s="8"/>
      <c r="O34" s="8"/>
      <c r="P34" s="8">
        <f t="shared" si="10"/>
        <v>0</v>
      </c>
      <c r="Q34" s="8"/>
      <c r="R34" s="8"/>
    </row>
    <row r="35" spans="1:18" s="19" customFormat="1" ht="14.45" x14ac:dyDescent="0.3">
      <c r="A35" s="234">
        <v>12</v>
      </c>
      <c r="B35" s="13"/>
      <c r="C35" s="8"/>
      <c r="D35" s="8">
        <f t="shared" si="8"/>
        <v>0</v>
      </c>
      <c r="E35" s="8"/>
      <c r="F35" s="8"/>
      <c r="G35" s="8"/>
      <c r="H35" s="13"/>
      <c r="I35" s="70"/>
      <c r="J35" s="70"/>
      <c r="K35" s="8"/>
      <c r="L35" s="8">
        <f t="shared" si="9"/>
        <v>0</v>
      </c>
      <c r="M35" s="8"/>
      <c r="N35" s="8"/>
      <c r="O35" s="8"/>
      <c r="P35" s="8">
        <f t="shared" si="10"/>
        <v>0</v>
      </c>
      <c r="Q35" s="8"/>
      <c r="R35" s="8"/>
    </row>
    <row r="36" spans="1:18" s="19" customFormat="1" ht="14.45" x14ac:dyDescent="0.3">
      <c r="A36" s="234">
        <v>13</v>
      </c>
      <c r="B36" s="13"/>
      <c r="C36" s="8"/>
      <c r="D36" s="8">
        <f t="shared" si="8"/>
        <v>0</v>
      </c>
      <c r="E36" s="8"/>
      <c r="F36" s="8"/>
      <c r="G36" s="8"/>
      <c r="H36" s="13"/>
      <c r="I36" s="70"/>
      <c r="J36" s="70"/>
      <c r="K36" s="8"/>
      <c r="L36" s="8">
        <f t="shared" si="9"/>
        <v>0</v>
      </c>
      <c r="M36" s="8"/>
      <c r="N36" s="8"/>
      <c r="O36" s="8"/>
      <c r="P36" s="8">
        <f t="shared" si="10"/>
        <v>0</v>
      </c>
      <c r="Q36" s="8"/>
      <c r="R36" s="8"/>
    </row>
    <row r="37" spans="1:18" s="19" customFormat="1" ht="15.75" customHeight="1" x14ac:dyDescent="0.25">
      <c r="A37" s="234" t="s">
        <v>27</v>
      </c>
      <c r="B37" s="13"/>
      <c r="C37" s="8"/>
      <c r="D37" s="8">
        <f t="shared" si="8"/>
        <v>0</v>
      </c>
      <c r="E37" s="8"/>
      <c r="F37" s="8"/>
      <c r="G37" s="8"/>
      <c r="H37" s="13"/>
      <c r="I37" s="70"/>
      <c r="J37" s="70"/>
      <c r="K37" s="8"/>
      <c r="L37" s="8">
        <f t="shared" si="9"/>
        <v>0</v>
      </c>
      <c r="M37" s="8"/>
      <c r="N37" s="8"/>
      <c r="O37" s="8"/>
      <c r="P37" s="8">
        <f t="shared" si="10"/>
        <v>0</v>
      </c>
      <c r="Q37" s="8"/>
      <c r="R37" s="8"/>
    </row>
    <row r="38" spans="1:18" s="19" customFormat="1" ht="15.75" customHeight="1" x14ac:dyDescent="0.3">
      <c r="A38" s="234"/>
      <c r="B38" s="13"/>
      <c r="C38" s="8"/>
      <c r="D38" s="8"/>
      <c r="E38" s="8"/>
      <c r="F38" s="8"/>
      <c r="G38" s="8"/>
      <c r="H38" s="13"/>
      <c r="I38" s="70"/>
      <c r="J38" s="70"/>
      <c r="K38" s="8"/>
      <c r="L38" s="8"/>
      <c r="M38" s="8"/>
      <c r="N38" s="8"/>
      <c r="O38" s="8"/>
      <c r="P38" s="8"/>
      <c r="Q38" s="8"/>
      <c r="R38" s="8"/>
    </row>
    <row r="39" spans="1:18" s="1" customFormat="1" x14ac:dyDescent="0.25">
      <c r="A39" s="237"/>
      <c r="B39" s="15" t="s">
        <v>14</v>
      </c>
      <c r="C39" s="16">
        <f>SUM(C26:C37)+C19+C12</f>
        <v>0</v>
      </c>
      <c r="D39" s="16">
        <f t="shared" ref="D39:R39" si="11">SUM(D12:D22)</f>
        <v>0</v>
      </c>
      <c r="E39" s="16">
        <f t="shared" si="11"/>
        <v>0</v>
      </c>
      <c r="F39" s="16">
        <f t="shared" si="11"/>
        <v>0</v>
      </c>
      <c r="G39" s="16">
        <f t="shared" si="11"/>
        <v>0</v>
      </c>
      <c r="H39" s="16"/>
      <c r="I39" s="18">
        <v>0</v>
      </c>
      <c r="J39" s="18">
        <v>0</v>
      </c>
      <c r="K39" s="16">
        <f t="shared" si="11"/>
        <v>0</v>
      </c>
      <c r="L39" s="16">
        <f t="shared" si="11"/>
        <v>0</v>
      </c>
      <c r="M39" s="16">
        <f t="shared" si="11"/>
        <v>0</v>
      </c>
      <c r="N39" s="16">
        <f t="shared" si="11"/>
        <v>0</v>
      </c>
      <c r="O39" s="16">
        <f t="shared" si="11"/>
        <v>0</v>
      </c>
      <c r="P39" s="16">
        <f t="shared" si="11"/>
        <v>0</v>
      </c>
      <c r="Q39" s="16">
        <f t="shared" si="11"/>
        <v>0</v>
      </c>
      <c r="R39" s="16">
        <f t="shared" si="11"/>
        <v>0</v>
      </c>
    </row>
  </sheetData>
  <customSheetViews>
    <customSheetView guid="{F55D2626-B25D-4865-88D7-A4040A583D45}" scale="90" showPageBreaks="1" fitToPage="1" topLeftCell="C1">
      <pane ySplit="11" topLeftCell="A24" activePane="bottomLeft" state="frozen"/>
      <selection pane="bottomLeft" activeCell="I39" sqref="I39:J39"/>
      <pageMargins left="0.31496062992125984" right="0.31496062992125984" top="0.35433070866141736" bottom="0.35433070866141736" header="0.31496062992125984" footer="0.31496062992125984"/>
      <pageSetup paperSize="9" scale="33" fitToHeight="2" orientation="landscape" verticalDpi="180" r:id="rId1"/>
    </customSheetView>
    <customSheetView guid="{9D6C8421-31F4-449D-B427-1D13044E970D}" scale="90" showPageBreaks="1" fitToPage="1">
      <pane ySplit="11" topLeftCell="A12" activePane="bottomLeft" state="frozen"/>
      <selection pane="bottomLeft" activeCell="F34" sqref="F34"/>
      <pageMargins left="0.31496062992125984" right="0.31496062992125984" top="0.35433070866141736" bottom="0.35433070866141736" header="0.31496062992125984" footer="0.31496062992125984"/>
      <pageSetup paperSize="9" scale="33" fitToHeight="2" orientation="landscape" verticalDpi="180" r:id="rId2"/>
    </customSheetView>
    <customSheetView guid="{CCAC52F4-1AE6-4B0C-B39F-86F6AB8E32E1}" scale="90" showPageBreaks="1" fitToPage="1">
      <pane ySplit="11" topLeftCell="A24" activePane="bottomLeft" state="frozen"/>
      <selection pane="bottomLeft" activeCell="A26" sqref="A26:XFD3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1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34" sqref="F3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8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1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22" fitToHeight="2" orientation="landscape" verticalDpi="180" r:id="rId9"/>
    </customSheetView>
    <customSheetView guid="{6D6F00BA-5393-49B6-B3BC-C80F08FA7E30}" scale="90" showPageBreaks="1" fitToPage="1">
      <pane ySplit="11" topLeftCell="A21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1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21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21" activePane="bottomLeft" state="frozen"/>
      <selection pane="bottomLeft" activeCell="F34" sqref="F3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H8" sqref="H8:H10"/>
      <pageMargins left="0.31496062992125984" right="0.31496062992125984" top="0.35433070866141736" bottom="0.35433070866141736" header="0.31496062992125984" footer="0.31496062992125984"/>
      <pageSetup paperSize="9" scale="33" fitToHeight="2" orientation="landscape" verticalDpi="180" r:id="rId16"/>
    </customSheetView>
  </customSheetViews>
  <mergeCells count="30">
    <mergeCell ref="A2:R2"/>
    <mergeCell ref="A4:R4"/>
    <mergeCell ref="A6:A10"/>
    <mergeCell ref="B6:B10"/>
    <mergeCell ref="C6:H6"/>
    <mergeCell ref="K6:N6"/>
    <mergeCell ref="O6:R6"/>
    <mergeCell ref="C7:C10"/>
    <mergeCell ref="D7:F7"/>
    <mergeCell ref="G7:H7"/>
    <mergeCell ref="D8:D10"/>
    <mergeCell ref="E8:F8"/>
    <mergeCell ref="G8:G10"/>
    <mergeCell ref="H8:H10"/>
    <mergeCell ref="L8:L10"/>
    <mergeCell ref="P8:P10"/>
    <mergeCell ref="Q8:R8"/>
    <mergeCell ref="E9:E10"/>
    <mergeCell ref="F9:F10"/>
    <mergeCell ref="M9:M10"/>
    <mergeCell ref="N9:N10"/>
    <mergeCell ref="Q9:Q10"/>
    <mergeCell ref="R9:R10"/>
    <mergeCell ref="K7:K10"/>
    <mergeCell ref="L7:N7"/>
    <mergeCell ref="O7:O10"/>
    <mergeCell ref="P7:R7"/>
    <mergeCell ref="M8:N8"/>
    <mergeCell ref="I6:I10"/>
    <mergeCell ref="J6:J10"/>
  </mergeCells>
  <pageMargins left="0.31496062992125984" right="0.31496062992125984" top="0.35433070866141736" bottom="0.35433070866141736" header="0.31496062992125984" footer="0.31496062992125984"/>
  <pageSetup paperSize="9" scale="33" fitToHeight="2" orientation="landscape" verticalDpi="180" r:id="rId17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1"/>
  <sheetViews>
    <sheetView zoomScale="90" zoomScaleNormal="90" workbookViewId="0">
      <pane ySplit="11" topLeftCell="A15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4.85546875" style="2" customWidth="1"/>
    <col min="12" max="12" width="17.5703125" style="2" customWidth="1"/>
    <col min="13" max="13" width="56.42578125" style="2" customWidth="1"/>
    <col min="14" max="15" width="16.42578125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25">
      <c r="A4" s="332" t="s">
        <v>61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15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99.7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8"/>
      <c r="D11" s="238">
        <v>3</v>
      </c>
      <c r="E11" s="238"/>
      <c r="F11" s="238">
        <v>4</v>
      </c>
      <c r="G11" s="238">
        <v>5</v>
      </c>
      <c r="H11" s="244">
        <v>6</v>
      </c>
      <c r="I11" s="233">
        <v>7</v>
      </c>
      <c r="J11" s="238">
        <v>8</v>
      </c>
      <c r="K11" s="244">
        <v>9</v>
      </c>
      <c r="L11" s="238">
        <v>10</v>
      </c>
      <c r="M11" s="244">
        <v>11</v>
      </c>
      <c r="N11" s="249"/>
      <c r="O11" s="249"/>
      <c r="P11" s="244">
        <v>12</v>
      </c>
      <c r="Q11" s="233">
        <v>13</v>
      </c>
      <c r="R11" s="238">
        <v>14</v>
      </c>
      <c r="S11" s="244">
        <v>15</v>
      </c>
      <c r="T11" s="244">
        <v>16</v>
      </c>
      <c r="U11" s="233">
        <v>17</v>
      </c>
      <c r="V11" s="238">
        <v>18</v>
      </c>
      <c r="W11" s="244">
        <v>19</v>
      </c>
    </row>
    <row r="12" spans="1:23" s="11" customFormat="1" ht="28.5" x14ac:dyDescent="0.25">
      <c r="A12" s="234">
        <v>1</v>
      </c>
      <c r="B12" s="44" t="s">
        <v>267</v>
      </c>
      <c r="C12" s="44">
        <f>C13+C14</f>
        <v>71800</v>
      </c>
      <c r="D12" s="44">
        <f>D13+D14</f>
        <v>722658.88</v>
      </c>
      <c r="E12" s="44">
        <f>E13+E14</f>
        <v>71800</v>
      </c>
      <c r="F12" s="44">
        <f>F13+F14</f>
        <v>0</v>
      </c>
      <c r="G12" s="44">
        <f>H12+I12</f>
        <v>174400</v>
      </c>
      <c r="H12" s="45">
        <f>H13+H14</f>
        <v>74400</v>
      </c>
      <c r="I12" s="45">
        <f>I13+I14</f>
        <v>100000</v>
      </c>
      <c r="J12" s="45">
        <f>J13+J14</f>
        <v>0</v>
      </c>
      <c r="K12" s="45">
        <f>K13+K14</f>
        <v>100000</v>
      </c>
      <c r="L12" s="45">
        <f>L13+L14</f>
        <v>708358.1399999999</v>
      </c>
      <c r="M12" s="39"/>
      <c r="N12" s="69"/>
      <c r="O12" s="69"/>
      <c r="P12" s="45">
        <f t="shared" ref="P12:W12" si="0">P13+P14</f>
        <v>74400</v>
      </c>
      <c r="Q12" s="45">
        <f t="shared" si="0"/>
        <v>100000</v>
      </c>
      <c r="R12" s="45">
        <f t="shared" si="0"/>
        <v>0</v>
      </c>
      <c r="S12" s="45">
        <f t="shared" si="0"/>
        <v>100000</v>
      </c>
      <c r="T12" s="45">
        <f t="shared" si="0"/>
        <v>74400</v>
      </c>
      <c r="U12" s="45">
        <f t="shared" si="0"/>
        <v>100000</v>
      </c>
      <c r="V12" s="45">
        <f t="shared" si="0"/>
        <v>0</v>
      </c>
      <c r="W12" s="45">
        <f t="shared" si="0"/>
        <v>100000</v>
      </c>
    </row>
    <row r="13" spans="1:23" s="11" customFormat="1" ht="99.75" customHeight="1" x14ac:dyDescent="0.25">
      <c r="A13" s="236">
        <v>1</v>
      </c>
      <c r="B13" s="39" t="s">
        <v>268</v>
      </c>
      <c r="C13" s="39"/>
      <c r="D13" s="39">
        <v>722658.88</v>
      </c>
      <c r="E13" s="39"/>
      <c r="F13" s="39">
        <v>0</v>
      </c>
      <c r="G13" s="44">
        <f t="shared" ref="G13:G21" si="1">H13+I13</f>
        <v>100000</v>
      </c>
      <c r="H13" s="8">
        <v>0</v>
      </c>
      <c r="I13" s="8">
        <v>100000</v>
      </c>
      <c r="J13" s="8">
        <v>0</v>
      </c>
      <c r="K13" s="8">
        <f>I13</f>
        <v>100000</v>
      </c>
      <c r="L13" s="8">
        <f>139890+407227.96+261240.18-100000</f>
        <v>708358.1399999999</v>
      </c>
      <c r="M13" s="39" t="s">
        <v>375</v>
      </c>
      <c r="N13" s="69"/>
      <c r="O13" s="9">
        <f>L13</f>
        <v>708358.1399999999</v>
      </c>
      <c r="P13" s="8">
        <v>0</v>
      </c>
      <c r="Q13" s="8">
        <f t="shared" ref="Q13:Q14" si="2">R13+S13</f>
        <v>100000</v>
      </c>
      <c r="R13" s="8">
        <v>0</v>
      </c>
      <c r="S13" s="8">
        <v>100000</v>
      </c>
      <c r="T13" s="8">
        <v>0</v>
      </c>
      <c r="U13" s="8">
        <v>100000</v>
      </c>
      <c r="V13" s="8">
        <v>0</v>
      </c>
      <c r="W13" s="8">
        <v>100000</v>
      </c>
    </row>
    <row r="14" spans="1:23" s="11" customFormat="1" x14ac:dyDescent="0.25">
      <c r="A14" s="233">
        <v>2</v>
      </c>
      <c r="B14" s="13" t="s">
        <v>269</v>
      </c>
      <c r="C14" s="13">
        <v>71800</v>
      </c>
      <c r="D14" s="13">
        <v>0</v>
      </c>
      <c r="E14" s="13">
        <v>71800</v>
      </c>
      <c r="F14" s="13">
        <v>0</v>
      </c>
      <c r="G14" s="44">
        <f t="shared" si="1"/>
        <v>74400</v>
      </c>
      <c r="H14" s="8">
        <v>74400</v>
      </c>
      <c r="I14" s="8">
        <v>0</v>
      </c>
      <c r="J14" s="8">
        <v>0</v>
      </c>
      <c r="K14" s="8">
        <v>0</v>
      </c>
      <c r="L14" s="8">
        <v>0</v>
      </c>
      <c r="M14" s="39"/>
      <c r="N14" s="69"/>
      <c r="O14" s="69"/>
      <c r="P14" s="8">
        <v>74400</v>
      </c>
      <c r="Q14" s="8">
        <f t="shared" si="2"/>
        <v>0</v>
      </c>
      <c r="R14" s="8">
        <v>0</v>
      </c>
      <c r="S14" s="8">
        <v>0</v>
      </c>
      <c r="T14" s="8">
        <v>74400</v>
      </c>
      <c r="U14" s="8">
        <v>0</v>
      </c>
      <c r="V14" s="8">
        <v>0</v>
      </c>
      <c r="W14" s="8">
        <v>0</v>
      </c>
    </row>
    <row r="15" spans="1:23" s="71" customFormat="1" ht="28.5" x14ac:dyDescent="0.25">
      <c r="A15" s="234">
        <v>2</v>
      </c>
      <c r="B15" s="44" t="s">
        <v>270</v>
      </c>
      <c r="C15" s="44">
        <f>C16+C17</f>
        <v>0</v>
      </c>
      <c r="D15" s="44">
        <f>D16+D17</f>
        <v>1850632.16</v>
      </c>
      <c r="E15" s="44">
        <f>E16+E17</f>
        <v>0</v>
      </c>
      <c r="F15" s="44">
        <f>F16+F17</f>
        <v>993156.67</v>
      </c>
      <c r="G15" s="44">
        <f t="shared" si="1"/>
        <v>2016200.0000000002</v>
      </c>
      <c r="H15" s="45">
        <f>H16+H17</f>
        <v>0</v>
      </c>
      <c r="I15" s="45">
        <f>I16+I17</f>
        <v>2016200.0000000002</v>
      </c>
      <c r="J15" s="45">
        <f>J16+J17</f>
        <v>0</v>
      </c>
      <c r="K15" s="45">
        <f>K16+K17</f>
        <v>2016200.0000000002</v>
      </c>
      <c r="L15" s="45">
        <f>L16+L17</f>
        <v>2273144.4782600002</v>
      </c>
      <c r="M15" s="13"/>
      <c r="N15" s="70"/>
      <c r="O15" s="70"/>
      <c r="P15" s="45">
        <f t="shared" ref="P15:W15" si="3">P16+P17</f>
        <v>0</v>
      </c>
      <c r="Q15" s="45">
        <f t="shared" si="3"/>
        <v>2044500</v>
      </c>
      <c r="R15" s="45">
        <f t="shared" si="3"/>
        <v>0</v>
      </c>
      <c r="S15" s="45">
        <f>S16+S17</f>
        <v>2044500</v>
      </c>
      <c r="T15" s="45">
        <f t="shared" si="3"/>
        <v>0</v>
      </c>
      <c r="U15" s="45">
        <f t="shared" si="3"/>
        <v>2006400</v>
      </c>
      <c r="V15" s="45">
        <f t="shared" si="3"/>
        <v>0</v>
      </c>
      <c r="W15" s="45">
        <f t="shared" si="3"/>
        <v>2006400</v>
      </c>
    </row>
    <row r="16" spans="1:23" s="71" customFormat="1" ht="144" customHeight="1" x14ac:dyDescent="0.25">
      <c r="A16" s="236">
        <v>1</v>
      </c>
      <c r="B16" s="39" t="s">
        <v>271</v>
      </c>
      <c r="C16" s="39"/>
      <c r="D16" s="39">
        <v>1550632.16</v>
      </c>
      <c r="E16" s="39"/>
      <c r="F16" s="39">
        <v>747476.67</v>
      </c>
      <c r="G16" s="44">
        <f t="shared" si="1"/>
        <v>1716200.0000000002</v>
      </c>
      <c r="H16" s="8">
        <v>0</v>
      </c>
      <c r="I16" s="8">
        <v>1716200.0000000002</v>
      </c>
      <c r="J16" s="8">
        <v>0</v>
      </c>
      <c r="K16" s="8">
        <f>I16</f>
        <v>1716200.0000000002</v>
      </c>
      <c r="L16" s="8">
        <v>2223144.4782600002</v>
      </c>
      <c r="M16" s="72" t="s">
        <v>451</v>
      </c>
      <c r="N16" s="9">
        <f>774425.46+893840.52/2</f>
        <v>1221345.72</v>
      </c>
      <c r="O16" s="9">
        <f>892840.52/2</f>
        <v>446420.26</v>
      </c>
      <c r="P16" s="8">
        <v>0</v>
      </c>
      <c r="Q16" s="8">
        <f>S16</f>
        <v>1744500</v>
      </c>
      <c r="R16" s="8">
        <v>0</v>
      </c>
      <c r="S16" s="8">
        <v>1744500</v>
      </c>
      <c r="T16" s="8">
        <v>0</v>
      </c>
      <c r="U16" s="8">
        <f>W16</f>
        <v>1706400</v>
      </c>
      <c r="V16" s="8">
        <v>0</v>
      </c>
      <c r="W16" s="8">
        <v>1706400</v>
      </c>
    </row>
    <row r="17" spans="1:23" s="71" customFormat="1" ht="30" x14ac:dyDescent="0.25">
      <c r="A17" s="236">
        <v>2</v>
      </c>
      <c r="B17" s="39" t="s">
        <v>272</v>
      </c>
      <c r="C17" s="39"/>
      <c r="D17" s="39">
        <v>300000</v>
      </c>
      <c r="E17" s="39"/>
      <c r="F17" s="39">
        <v>245680</v>
      </c>
      <c r="G17" s="44">
        <f t="shared" si="1"/>
        <v>300000</v>
      </c>
      <c r="H17" s="8">
        <v>0</v>
      </c>
      <c r="I17" s="8">
        <f>J17+K17</f>
        <v>300000</v>
      </c>
      <c r="J17" s="8">
        <v>0</v>
      </c>
      <c r="K17" s="8">
        <v>300000</v>
      </c>
      <c r="L17" s="8">
        <v>50000</v>
      </c>
      <c r="M17" s="39" t="s">
        <v>392</v>
      </c>
      <c r="N17" s="9">
        <v>50000</v>
      </c>
      <c r="O17" s="69"/>
      <c r="P17" s="8">
        <v>0</v>
      </c>
      <c r="Q17" s="8">
        <f>R17+S17</f>
        <v>300000</v>
      </c>
      <c r="R17" s="8">
        <v>0</v>
      </c>
      <c r="S17" s="8">
        <v>300000</v>
      </c>
      <c r="T17" s="8">
        <v>0</v>
      </c>
      <c r="U17" s="8">
        <f>V17+W17</f>
        <v>300000</v>
      </c>
      <c r="V17" s="8">
        <v>0</v>
      </c>
      <c r="W17" s="8">
        <v>300000</v>
      </c>
    </row>
    <row r="18" spans="1:23" s="71" customFormat="1" ht="28.5" x14ac:dyDescent="0.25">
      <c r="A18" s="234">
        <v>3</v>
      </c>
      <c r="B18" s="44" t="s">
        <v>273</v>
      </c>
      <c r="C18" s="44">
        <f>C19</f>
        <v>451800</v>
      </c>
      <c r="D18" s="44">
        <f>D19</f>
        <v>0</v>
      </c>
      <c r="E18" s="44">
        <f>E19</f>
        <v>272111.3</v>
      </c>
      <c r="F18" s="44">
        <f>F19</f>
        <v>0</v>
      </c>
      <c r="G18" s="44">
        <f t="shared" si="1"/>
        <v>451800</v>
      </c>
      <c r="H18" s="45">
        <f>H19</f>
        <v>451800</v>
      </c>
      <c r="I18" s="45">
        <f>I19</f>
        <v>0</v>
      </c>
      <c r="J18" s="45">
        <f>J19</f>
        <v>0</v>
      </c>
      <c r="K18" s="45">
        <f>K19</f>
        <v>0</v>
      </c>
      <c r="L18" s="8">
        <v>0</v>
      </c>
      <c r="M18" s="13"/>
      <c r="N18" s="70"/>
      <c r="O18" s="70"/>
      <c r="P18" s="45">
        <f t="shared" ref="P18:W18" si="4">P19</f>
        <v>451800</v>
      </c>
      <c r="Q18" s="45">
        <f t="shared" si="4"/>
        <v>0</v>
      </c>
      <c r="R18" s="45">
        <f t="shared" si="4"/>
        <v>0</v>
      </c>
      <c r="S18" s="45">
        <f t="shared" si="4"/>
        <v>0</v>
      </c>
      <c r="T18" s="45">
        <f t="shared" si="4"/>
        <v>451800</v>
      </c>
      <c r="U18" s="45">
        <f t="shared" si="4"/>
        <v>0</v>
      </c>
      <c r="V18" s="45">
        <f t="shared" si="4"/>
        <v>0</v>
      </c>
      <c r="W18" s="45">
        <f t="shared" si="4"/>
        <v>0</v>
      </c>
    </row>
    <row r="19" spans="1:23" s="71" customFormat="1" ht="45" x14ac:dyDescent="0.25">
      <c r="A19" s="236">
        <v>1</v>
      </c>
      <c r="B19" s="39" t="s">
        <v>274</v>
      </c>
      <c r="C19" s="39">
        <v>451800</v>
      </c>
      <c r="D19" s="39">
        <v>0</v>
      </c>
      <c r="E19" s="39">
        <v>272111.3</v>
      </c>
      <c r="F19" s="39">
        <v>0</v>
      </c>
      <c r="G19" s="44">
        <f t="shared" si="1"/>
        <v>451800</v>
      </c>
      <c r="H19" s="8">
        <v>451800</v>
      </c>
      <c r="I19" s="8">
        <f>J19+K19</f>
        <v>0</v>
      </c>
      <c r="J19" s="8">
        <v>0</v>
      </c>
      <c r="K19" s="8">
        <v>0</v>
      </c>
      <c r="L19" s="8">
        <v>0</v>
      </c>
      <c r="M19" s="13"/>
      <c r="N19" s="70"/>
      <c r="O19" s="70"/>
      <c r="P19" s="8">
        <v>451800</v>
      </c>
      <c r="Q19" s="8">
        <f>R19+S19</f>
        <v>0</v>
      </c>
      <c r="R19" s="8">
        <v>0</v>
      </c>
      <c r="S19" s="8">
        <v>0</v>
      </c>
      <c r="T19" s="8">
        <v>451800</v>
      </c>
      <c r="U19" s="8">
        <f>V19+W19</f>
        <v>0</v>
      </c>
      <c r="V19" s="8">
        <v>0</v>
      </c>
      <c r="W19" s="8">
        <v>0</v>
      </c>
    </row>
    <row r="20" spans="1:23" s="71" customFormat="1" ht="14.45" x14ac:dyDescent="0.3">
      <c r="A20" s="236"/>
      <c r="B20" s="39"/>
      <c r="C20" s="39"/>
      <c r="D20" s="39"/>
      <c r="E20" s="39"/>
      <c r="F20" s="39"/>
      <c r="G20" s="44"/>
      <c r="H20" s="8"/>
      <c r="I20" s="8"/>
      <c r="J20" s="8"/>
      <c r="K20" s="8"/>
      <c r="L20" s="8"/>
      <c r="M20" s="13"/>
      <c r="N20" s="70"/>
      <c r="O20" s="70"/>
      <c r="P20" s="8"/>
      <c r="Q20" s="8"/>
      <c r="R20" s="8"/>
      <c r="S20" s="8"/>
      <c r="T20" s="8"/>
      <c r="U20" s="8"/>
      <c r="V20" s="8"/>
      <c r="W20" s="8"/>
    </row>
    <row r="21" spans="1:23" s="19" customFormat="1" x14ac:dyDescent="0.25">
      <c r="A21" s="237"/>
      <c r="B21" s="15" t="s">
        <v>14</v>
      </c>
      <c r="C21" s="15">
        <f>C12+C15+C18</f>
        <v>523600</v>
      </c>
      <c r="D21" s="15">
        <f t="shared" ref="D21:F21" si="5">D12+D15+D18</f>
        <v>2573291.04</v>
      </c>
      <c r="E21" s="15">
        <f t="shared" si="5"/>
        <v>343911.3</v>
      </c>
      <c r="F21" s="15">
        <f t="shared" si="5"/>
        <v>993156.67</v>
      </c>
      <c r="G21" s="44">
        <f t="shared" si="1"/>
        <v>2642400</v>
      </c>
      <c r="H21" s="16">
        <f>H12+H15+H18</f>
        <v>526200</v>
      </c>
      <c r="I21" s="16">
        <f>I12+I15+I18</f>
        <v>2116200</v>
      </c>
      <c r="J21" s="16">
        <f>J12+J15+J18</f>
        <v>0</v>
      </c>
      <c r="K21" s="16">
        <f>K12+K15+K18</f>
        <v>2116200</v>
      </c>
      <c r="L21" s="16">
        <f>L12+L15+L18</f>
        <v>2981502.6182599999</v>
      </c>
      <c r="M21" s="16"/>
      <c r="N21" s="18">
        <f>SUM(N12:N20)</f>
        <v>1271345.72</v>
      </c>
      <c r="O21" s="18">
        <f>SUM(O12:O20)</f>
        <v>1154778.3999999999</v>
      </c>
      <c r="P21" s="16">
        <f t="shared" ref="P21:W21" si="6">P12+P15+P18</f>
        <v>526200</v>
      </c>
      <c r="Q21" s="16">
        <f t="shared" si="6"/>
        <v>2144500</v>
      </c>
      <c r="R21" s="16">
        <f t="shared" si="6"/>
        <v>0</v>
      </c>
      <c r="S21" s="16">
        <f t="shared" si="6"/>
        <v>2144500</v>
      </c>
      <c r="T21" s="16">
        <f t="shared" si="6"/>
        <v>526200</v>
      </c>
      <c r="U21" s="16">
        <f t="shared" si="6"/>
        <v>2106400</v>
      </c>
      <c r="V21" s="16">
        <f t="shared" si="6"/>
        <v>0</v>
      </c>
      <c r="W21" s="16">
        <f t="shared" si="6"/>
        <v>2106400</v>
      </c>
    </row>
  </sheetData>
  <customSheetViews>
    <customSheetView guid="{F55D2626-B25D-4865-88D7-A4040A583D45}" scale="90" showPageBreaks="1" fitToPage="1" topLeftCell="E1">
      <pane ySplit="11" topLeftCell="A18" activePane="bottomLeft" state="frozen"/>
      <selection pane="bottomLeft" activeCell="L21" sqref="L21:M21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1"/>
    </customSheetView>
    <customSheetView guid="{9D6C8421-31F4-449D-B427-1D13044E970D}" scale="90" showPageBreaks="1" fitToPage="1" topLeftCell="F1">
      <pane ySplit="11" topLeftCell="A19" activePane="bottomLeft" state="frozen"/>
      <selection pane="bottomLeft" activeCell="O17" sqref="O17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D20" sqref="D20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G14" sqref="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16" sqref="F16"/>
      <pageMargins left="0.17" right="0.17" top="0.35433070866141736" bottom="0.35433070866141736" header="0.31496062992125984" footer="0.31496062992125984"/>
      <pageSetup paperSize="9" scale="39" fitToHeight="2" orientation="landscape" verticalDpi="180" r:id="rId5"/>
    </customSheetView>
    <customSheetView guid="{A8921178-F68B-4A7A-94A0-4276A60BD3E0}" scale="90" showPageBreaks="1" fitToPage="1">
      <pane ySplit="11" topLeftCell="A15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24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24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24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24" activePane="bottomLeft" state="frozen"/>
      <selection pane="bottomLeft" activeCell="B30" sqref="B3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F16" sqref="F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5" activePane="bottomRight" state="frozen"/>
      <selection pane="bottomRight" activeCell="G23" sqref="G23"/>
      <pageMargins left="0.31496062992125984" right="0.31496062992125984" top="0.35433070866141736" bottom="0.35433070866141736" header="0.31496062992125984" footer="0.31496062992125984"/>
      <pageSetup paperSize="9" scale="25" fitToHeight="2" orientation="landscape" verticalDpi="180" r:id="rId16"/>
    </customSheetView>
  </customSheetViews>
  <mergeCells count="34">
    <mergeCell ref="C6:F6"/>
    <mergeCell ref="C7:D9"/>
    <mergeCell ref="E7:F9"/>
    <mergeCell ref="G6:G10"/>
    <mergeCell ref="N6:N10"/>
    <mergeCell ref="K9:K10"/>
    <mergeCell ref="M8:M10"/>
    <mergeCell ref="O6:O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L8:L10"/>
    <mergeCell ref="V8:W8"/>
    <mergeCell ref="J9:J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Q8:Q10"/>
    <mergeCell ref="U8:U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0"/>
  <sheetViews>
    <sheetView zoomScale="85" zoomScaleNormal="85" workbookViewId="0">
      <pane ySplit="11" topLeftCell="A12" activePane="bottomLeft" state="frozen"/>
      <selection activeCell="H14" sqref="H14"/>
      <selection pane="bottomLeft" activeCell="K14" sqref="K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8" width="17.42578125" style="2" customWidth="1"/>
    <col min="9" max="9" width="15.42578125" style="2" customWidth="1"/>
    <col min="10" max="11" width="17.42578125" style="2" customWidth="1"/>
    <col min="12" max="12" width="17.5703125" style="2" customWidth="1"/>
    <col min="13" max="13" width="52.5703125" style="2" customWidth="1"/>
    <col min="14" max="15" width="15.710937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25">
      <c r="A4" s="291" t="s">
        <v>62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6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30" x14ac:dyDescent="0.25">
      <c r="A12" s="234">
        <v>1</v>
      </c>
      <c r="B12" s="13" t="s">
        <v>376</v>
      </c>
      <c r="C12" s="13">
        <v>21690200</v>
      </c>
      <c r="D12" s="13">
        <v>5232331.3600000003</v>
      </c>
      <c r="E12" s="13">
        <v>13995448.789999999</v>
      </c>
      <c r="F12" s="13">
        <v>3534850.46</v>
      </c>
      <c r="G12" s="13">
        <f>H12+I12</f>
        <v>24955493.350000001</v>
      </c>
      <c r="H12" s="45">
        <f>H14+H15+H16+H17</f>
        <v>20342000</v>
      </c>
      <c r="I12" s="45">
        <f t="shared" ref="I12:W12" si="0">I14+I15+I16+I17</f>
        <v>4613493.3499999996</v>
      </c>
      <c r="J12" s="45">
        <f t="shared" si="0"/>
        <v>1070631.58</v>
      </c>
      <c r="K12" s="45">
        <f t="shared" si="0"/>
        <v>3542861.77</v>
      </c>
      <c r="L12" s="45">
        <f t="shared" si="0"/>
        <v>3159796.28</v>
      </c>
      <c r="M12" s="45"/>
      <c r="N12" s="36"/>
      <c r="O12" s="36"/>
      <c r="P12" s="45">
        <f t="shared" si="0"/>
        <v>20342000</v>
      </c>
      <c r="Q12" s="45">
        <f t="shared" si="0"/>
        <v>3670131.0599999996</v>
      </c>
      <c r="R12" s="45">
        <f t="shared" si="0"/>
        <v>1070631.58</v>
      </c>
      <c r="S12" s="45">
        <f t="shared" si="0"/>
        <v>2599499.48</v>
      </c>
      <c r="T12" s="45">
        <f t="shared" si="0"/>
        <v>20342000</v>
      </c>
      <c r="U12" s="45">
        <f t="shared" si="0"/>
        <v>3670131.0599999996</v>
      </c>
      <c r="V12" s="45">
        <f t="shared" si="0"/>
        <v>1070631.58</v>
      </c>
      <c r="W12" s="45">
        <f t="shared" si="0"/>
        <v>2599499.48</v>
      </c>
    </row>
    <row r="13" spans="1:23" s="25" customFormat="1" x14ac:dyDescent="0.25">
      <c r="A13" s="233"/>
      <c r="B13" s="37" t="s">
        <v>1</v>
      </c>
      <c r="C13" s="37"/>
      <c r="D13" s="37"/>
      <c r="E13" s="37"/>
      <c r="F13" s="37"/>
      <c r="G13" s="37"/>
      <c r="H13" s="8"/>
      <c r="I13" s="8">
        <f t="shared" ref="I13" si="1">J13+K13</f>
        <v>0</v>
      </c>
      <c r="J13" s="8"/>
      <c r="K13" s="8"/>
      <c r="L13" s="8"/>
      <c r="M13" s="38"/>
      <c r="N13" s="36"/>
      <c r="O13" s="36"/>
      <c r="P13" s="8"/>
      <c r="Q13" s="8">
        <f t="shared" ref="Q13:Q18" si="2">R13+S13</f>
        <v>0</v>
      </c>
      <c r="R13" s="8"/>
      <c r="S13" s="8"/>
      <c r="T13" s="8"/>
      <c r="U13" s="8">
        <f t="shared" ref="U13:U18" si="3">V13+W13</f>
        <v>0</v>
      </c>
      <c r="V13" s="8"/>
      <c r="W13" s="8"/>
    </row>
    <row r="14" spans="1:23" s="41" customFormat="1" x14ac:dyDescent="0.25">
      <c r="A14" s="236" t="s">
        <v>4</v>
      </c>
      <c r="B14" s="34" t="s">
        <v>2</v>
      </c>
      <c r="C14" s="34">
        <v>21529329.850000001</v>
      </c>
      <c r="D14" s="34">
        <v>2536371.6</v>
      </c>
      <c r="E14" s="34">
        <v>13915453.369999999</v>
      </c>
      <c r="F14" s="34">
        <v>1604173.71</v>
      </c>
      <c r="G14" s="13">
        <f t="shared" ref="G14:G30" si="4">H14+I14</f>
        <v>24482661.440000001</v>
      </c>
      <c r="H14" s="8">
        <f>20342000-160870.15</f>
        <v>20181129.850000001</v>
      </c>
      <c r="I14" s="8">
        <f>J14+K14</f>
        <v>4301531.59</v>
      </c>
      <c r="J14" s="8">
        <f>1070631.58-8466.85</f>
        <v>1062164.73</v>
      </c>
      <c r="K14" s="8">
        <f>2145841.25+160870.15+8466.85+924188.61</f>
        <v>3239366.86</v>
      </c>
      <c r="L14" s="8"/>
      <c r="M14" s="39"/>
      <c r="N14" s="40"/>
      <c r="O14" s="40"/>
      <c r="P14" s="8">
        <f>20342000-160870.15</f>
        <v>20181129.850000001</v>
      </c>
      <c r="Q14" s="8">
        <f t="shared" si="2"/>
        <v>3377342.98</v>
      </c>
      <c r="R14" s="8">
        <f>1070631.58-8466.85</f>
        <v>1062164.73</v>
      </c>
      <c r="S14" s="8">
        <f>2145841.25+160870.15+8466.85</f>
        <v>2315178.25</v>
      </c>
      <c r="T14" s="8">
        <f>20342000-160870.15</f>
        <v>20181129.850000001</v>
      </c>
      <c r="U14" s="8">
        <f t="shared" si="3"/>
        <v>3377342.98</v>
      </c>
      <c r="V14" s="8">
        <f>1070631.58-8466.85</f>
        <v>1062164.73</v>
      </c>
      <c r="W14" s="8">
        <f>2145841.25+160870.15+8466.85</f>
        <v>2315178.25</v>
      </c>
    </row>
    <row r="15" spans="1:23" s="41" customFormat="1" ht="30" x14ac:dyDescent="0.25">
      <c r="A15" s="236" t="s">
        <v>5</v>
      </c>
      <c r="B15" s="39" t="s">
        <v>10</v>
      </c>
      <c r="C15" s="39">
        <v>160870.15</v>
      </c>
      <c r="D15" s="39">
        <v>298844.93</v>
      </c>
      <c r="E15" s="39">
        <v>79995.42</v>
      </c>
      <c r="F15" s="39">
        <v>205538.49</v>
      </c>
      <c r="G15" s="13">
        <f t="shared" si="4"/>
        <v>439106.85</v>
      </c>
      <c r="H15" s="8">
        <v>160870.15</v>
      </c>
      <c r="I15" s="8">
        <f>J15+K15</f>
        <v>278236.69999999995</v>
      </c>
      <c r="J15" s="8">
        <f>H15/95*5</f>
        <v>8466.8499999999985</v>
      </c>
      <c r="K15" s="8">
        <f>439106.85-160870.15-8466.85</f>
        <v>269769.84999999998</v>
      </c>
      <c r="L15" s="8"/>
      <c r="M15" s="34"/>
      <c r="N15" s="42"/>
      <c r="O15" s="42"/>
      <c r="P15" s="8">
        <v>160870.15</v>
      </c>
      <c r="Q15" s="8">
        <f t="shared" si="2"/>
        <v>278236.69999999995</v>
      </c>
      <c r="R15" s="8">
        <v>8466.85</v>
      </c>
      <c r="S15" s="8">
        <f>439106.85-160870.15-8466.85</f>
        <v>269769.84999999998</v>
      </c>
      <c r="T15" s="8">
        <v>160870.15</v>
      </c>
      <c r="U15" s="8">
        <f t="shared" si="3"/>
        <v>278236.69999999995</v>
      </c>
      <c r="V15" s="8">
        <v>8466.85</v>
      </c>
      <c r="W15" s="8">
        <f>439106.85-160870.15-8466.85</f>
        <v>269769.84999999998</v>
      </c>
    </row>
    <row r="16" spans="1:23" s="41" customFormat="1" ht="30" x14ac:dyDescent="0.25">
      <c r="A16" s="236" t="s">
        <v>6</v>
      </c>
      <c r="B16" s="39" t="s">
        <v>11</v>
      </c>
      <c r="C16" s="39">
        <v>0</v>
      </c>
      <c r="D16" s="39">
        <v>627672.73</v>
      </c>
      <c r="E16" s="39">
        <v>0</v>
      </c>
      <c r="F16" s="39">
        <v>464977.38</v>
      </c>
      <c r="G16" s="13">
        <f t="shared" si="4"/>
        <v>33725.06</v>
      </c>
      <c r="H16" s="8"/>
      <c r="I16" s="8">
        <f>J16+K16</f>
        <v>33725.06</v>
      </c>
      <c r="J16" s="8"/>
      <c r="K16" s="8">
        <v>33725.06</v>
      </c>
      <c r="L16" s="8">
        <f>812983.48-K16</f>
        <v>779258.41999999993</v>
      </c>
      <c r="M16" s="34" t="s">
        <v>380</v>
      </c>
      <c r="N16" s="42"/>
      <c r="O16" s="42"/>
      <c r="P16" s="8"/>
      <c r="Q16" s="8">
        <f t="shared" si="2"/>
        <v>14551.38</v>
      </c>
      <c r="R16" s="8"/>
      <c r="S16" s="8">
        <v>14551.38</v>
      </c>
      <c r="T16" s="8"/>
      <c r="U16" s="8">
        <f t="shared" si="3"/>
        <v>14551.38</v>
      </c>
      <c r="V16" s="8"/>
      <c r="W16" s="8">
        <v>14551.38</v>
      </c>
    </row>
    <row r="17" spans="1:23" s="41" customFormat="1" ht="237" customHeight="1" x14ac:dyDescent="0.25">
      <c r="A17" s="236" t="s">
        <v>7</v>
      </c>
      <c r="B17" s="39" t="s">
        <v>13</v>
      </c>
      <c r="C17" s="39">
        <f>C12-C14-C15</f>
        <v>-1.4842953532934189E-9</v>
      </c>
      <c r="D17" s="39">
        <f>D12-D14-D15-595538.46</f>
        <v>1801576.37</v>
      </c>
      <c r="E17" s="39">
        <f t="shared" ref="E17:F17" si="5">E12-E14-E15</f>
        <v>0</v>
      </c>
      <c r="F17" s="39">
        <f t="shared" si="5"/>
        <v>1725138.26</v>
      </c>
      <c r="G17" s="13">
        <f t="shared" si="4"/>
        <v>0</v>
      </c>
      <c r="H17" s="61"/>
      <c r="I17" s="8">
        <f>J17+K17</f>
        <v>0</v>
      </c>
      <c r="J17" s="61"/>
      <c r="K17" s="8">
        <v>0</v>
      </c>
      <c r="L17" s="8">
        <v>2380537.86</v>
      </c>
      <c r="M17" s="39" t="s">
        <v>381</v>
      </c>
      <c r="N17" s="42"/>
      <c r="O17" s="42"/>
      <c r="P17" s="66"/>
      <c r="Q17" s="8">
        <f t="shared" si="2"/>
        <v>0</v>
      </c>
      <c r="R17" s="66"/>
      <c r="S17" s="66">
        <v>0</v>
      </c>
      <c r="T17" s="66"/>
      <c r="U17" s="8">
        <f t="shared" si="3"/>
        <v>0</v>
      </c>
      <c r="V17" s="66"/>
      <c r="W17" s="66">
        <v>0</v>
      </c>
    </row>
    <row r="18" spans="1:23" s="11" customFormat="1" ht="30" x14ac:dyDescent="0.25">
      <c r="A18" s="234">
        <v>3</v>
      </c>
      <c r="B18" s="13" t="s">
        <v>152</v>
      </c>
      <c r="C18" s="13">
        <f>C19+C20+C21+C22+C23+C24+C25+C26+C27+C28+C29</f>
        <v>0</v>
      </c>
      <c r="D18" s="13">
        <f>D19+D20+D21+D22+D23+D24+D25+D26+D27+D28+D29</f>
        <v>7855800</v>
      </c>
      <c r="E18" s="13">
        <f>E19+E20+E21+E22+E23+E24+E25+E26+E27+E28+E29</f>
        <v>0</v>
      </c>
      <c r="F18" s="13">
        <f>F19+F20+F21+F22+F23+F24+F25+F26+F27+F28+F29</f>
        <v>5194447.8</v>
      </c>
      <c r="G18" s="13">
        <f>G19+G20+G21+G22+G23+G24+G25+G26+G27+G28+G29</f>
        <v>5202495.26</v>
      </c>
      <c r="H18" s="8">
        <f>H19+H20+H21+H22+H23+H24+H25+H26+H27+H28</f>
        <v>0</v>
      </c>
      <c r="I18" s="6">
        <f>SUM(I19:I28)</f>
        <v>5202495.26</v>
      </c>
      <c r="J18" s="6">
        <f>SUM(J19:J28)</f>
        <v>0</v>
      </c>
      <c r="K18" s="8">
        <f>K19+K20+K21+K22+K23+K24+K25+K26+K27+K28</f>
        <v>5202495.26</v>
      </c>
      <c r="L18" s="6">
        <f>SUM(L19:L21)</f>
        <v>3856689.3100000005</v>
      </c>
      <c r="M18" s="102" t="s">
        <v>239</v>
      </c>
      <c r="N18" s="9"/>
      <c r="O18" s="18">
        <f>2000000-N19</f>
        <v>1167600</v>
      </c>
      <c r="P18" s="6">
        <v>0</v>
      </c>
      <c r="Q18" s="6">
        <f t="shared" si="2"/>
        <v>5340568.9399999995</v>
      </c>
      <c r="R18" s="6">
        <f>SUM(R19:R28)</f>
        <v>0</v>
      </c>
      <c r="S18" s="6">
        <f>S19+S20+S21+S22+S23+S24+S25+S26+S27+S28</f>
        <v>5340568.9399999995</v>
      </c>
      <c r="T18" s="6">
        <v>0</v>
      </c>
      <c r="U18" s="6">
        <f t="shared" si="3"/>
        <v>5180368.9399999995</v>
      </c>
      <c r="V18" s="6">
        <f>SUM(V19:V28)</f>
        <v>0</v>
      </c>
      <c r="W18" s="6">
        <f>W19+W20+W21+W22+W23+W24+W25+W26+W27+W28</f>
        <v>5180368.9399999995</v>
      </c>
    </row>
    <row r="19" spans="1:23" s="11" customFormat="1" ht="150" x14ac:dyDescent="0.25">
      <c r="A19" s="236" t="s">
        <v>4</v>
      </c>
      <c r="B19" s="39" t="s">
        <v>224</v>
      </c>
      <c r="C19" s="39">
        <v>0</v>
      </c>
      <c r="D19" s="39">
        <v>4238421.1100000003</v>
      </c>
      <c r="E19" s="39">
        <v>0</v>
      </c>
      <c r="F19" s="39">
        <v>3072847.96</v>
      </c>
      <c r="G19" s="13">
        <f t="shared" si="4"/>
        <v>3936043.26</v>
      </c>
      <c r="H19" s="8">
        <v>0</v>
      </c>
      <c r="I19" s="8">
        <f>J19+K19</f>
        <v>3936043.26</v>
      </c>
      <c r="J19" s="8">
        <v>0</v>
      </c>
      <c r="K19" s="8">
        <v>3936043.26</v>
      </c>
      <c r="L19" s="47">
        <f>6181784.57-5202495.26</f>
        <v>979289.31000000052</v>
      </c>
      <c r="M19" s="67" t="s">
        <v>240</v>
      </c>
      <c r="N19" s="265">
        <v>832400</v>
      </c>
      <c r="O19" s="59"/>
      <c r="P19" s="8">
        <v>0</v>
      </c>
      <c r="Q19" s="8">
        <f t="shared" ref="Q19:Q27" si="6">R19+S19</f>
        <v>3936043.26</v>
      </c>
      <c r="R19" s="8">
        <v>0</v>
      </c>
      <c r="S19" s="8">
        <v>3936043.26</v>
      </c>
      <c r="T19" s="8">
        <v>0</v>
      </c>
      <c r="U19" s="8">
        <f t="shared" ref="U19:U28" si="7">V19+W19</f>
        <v>3936076.94</v>
      </c>
      <c r="V19" s="8">
        <v>0</v>
      </c>
      <c r="W19" s="8">
        <v>3936076.94</v>
      </c>
    </row>
    <row r="20" spans="1:23" s="11" customFormat="1" ht="30" x14ac:dyDescent="0.25">
      <c r="A20" s="236" t="s">
        <v>5</v>
      </c>
      <c r="B20" s="39" t="s">
        <v>225</v>
      </c>
      <c r="C20" s="39">
        <v>0</v>
      </c>
      <c r="D20" s="39">
        <v>170725</v>
      </c>
      <c r="E20" s="39">
        <v>0</v>
      </c>
      <c r="F20" s="39">
        <v>117145</v>
      </c>
      <c r="G20" s="13">
        <f t="shared" si="4"/>
        <v>157920</v>
      </c>
      <c r="H20" s="8">
        <v>0</v>
      </c>
      <c r="I20" s="8">
        <f t="shared" ref="I20:I28" si="8">J20+K20</f>
        <v>157920</v>
      </c>
      <c r="J20" s="8">
        <v>0</v>
      </c>
      <c r="K20" s="8">
        <v>157920</v>
      </c>
      <c r="L20" s="8">
        <v>2402400</v>
      </c>
      <c r="M20" s="39" t="s">
        <v>241</v>
      </c>
      <c r="N20" s="68"/>
      <c r="O20" s="59"/>
      <c r="P20" s="8">
        <v>0</v>
      </c>
      <c r="Q20" s="8">
        <f t="shared" si="6"/>
        <v>157920</v>
      </c>
      <c r="R20" s="8">
        <v>0</v>
      </c>
      <c r="S20" s="8">
        <v>157920</v>
      </c>
      <c r="T20" s="8">
        <v>0</v>
      </c>
      <c r="U20" s="8">
        <f t="shared" si="7"/>
        <v>157920</v>
      </c>
      <c r="V20" s="8">
        <v>0</v>
      </c>
      <c r="W20" s="8">
        <v>157920</v>
      </c>
    </row>
    <row r="21" spans="1:23" s="35" customFormat="1" x14ac:dyDescent="0.25">
      <c r="A21" s="236" t="s">
        <v>6</v>
      </c>
      <c r="B21" s="39" t="s">
        <v>226</v>
      </c>
      <c r="C21" s="39">
        <v>0</v>
      </c>
      <c r="D21" s="39">
        <v>19454</v>
      </c>
      <c r="E21" s="39">
        <v>0</v>
      </c>
      <c r="F21" s="39">
        <v>13430</v>
      </c>
      <c r="G21" s="13">
        <f t="shared" si="4"/>
        <v>18072</v>
      </c>
      <c r="H21" s="8">
        <v>0</v>
      </c>
      <c r="I21" s="8">
        <f t="shared" si="8"/>
        <v>18072</v>
      </c>
      <c r="J21" s="8">
        <v>0</v>
      </c>
      <c r="K21" s="8">
        <v>18072</v>
      </c>
      <c r="L21" s="8">
        <v>475000</v>
      </c>
      <c r="M21" s="39" t="s">
        <v>242</v>
      </c>
      <c r="N21" s="59"/>
      <c r="O21" s="59"/>
      <c r="P21" s="8">
        <v>0</v>
      </c>
      <c r="Q21" s="8">
        <f t="shared" si="6"/>
        <v>18072</v>
      </c>
      <c r="R21" s="8">
        <v>0</v>
      </c>
      <c r="S21" s="8">
        <v>18072</v>
      </c>
      <c r="T21" s="8">
        <v>0</v>
      </c>
      <c r="U21" s="8">
        <f t="shared" si="7"/>
        <v>18072</v>
      </c>
      <c r="V21" s="8">
        <v>0</v>
      </c>
      <c r="W21" s="8">
        <v>18072</v>
      </c>
    </row>
    <row r="22" spans="1:23" s="35" customFormat="1" ht="30" x14ac:dyDescent="0.25">
      <c r="A22" s="236" t="s">
        <v>12</v>
      </c>
      <c r="B22" s="39" t="s">
        <v>227</v>
      </c>
      <c r="C22" s="39">
        <v>0</v>
      </c>
      <c r="D22" s="39">
        <v>138300</v>
      </c>
      <c r="E22" s="39">
        <v>0</v>
      </c>
      <c r="F22" s="39">
        <v>60000</v>
      </c>
      <c r="G22" s="13">
        <f t="shared" si="4"/>
        <v>158300</v>
      </c>
      <c r="H22" s="8">
        <v>0</v>
      </c>
      <c r="I22" s="8">
        <f t="shared" si="8"/>
        <v>158300</v>
      </c>
      <c r="J22" s="8">
        <v>0</v>
      </c>
      <c r="K22" s="8">
        <v>158300</v>
      </c>
      <c r="L22" s="3"/>
      <c r="M22" s="13"/>
      <c r="N22" s="59"/>
      <c r="O22" s="59"/>
      <c r="P22" s="8">
        <v>0</v>
      </c>
      <c r="Q22" s="8">
        <f t="shared" si="6"/>
        <v>158300</v>
      </c>
      <c r="R22" s="8">
        <v>0</v>
      </c>
      <c r="S22" s="8">
        <v>158300</v>
      </c>
      <c r="T22" s="8">
        <v>0</v>
      </c>
      <c r="U22" s="8">
        <f t="shared" si="7"/>
        <v>158300</v>
      </c>
      <c r="V22" s="8">
        <v>0</v>
      </c>
      <c r="W22" s="8">
        <v>158300</v>
      </c>
    </row>
    <row r="23" spans="1:23" s="35" customFormat="1" ht="45" x14ac:dyDescent="0.25">
      <c r="A23" s="236" t="s">
        <v>123</v>
      </c>
      <c r="B23" s="39" t="s">
        <v>228</v>
      </c>
      <c r="C23" s="39">
        <v>0</v>
      </c>
      <c r="D23" s="39">
        <v>0</v>
      </c>
      <c r="E23" s="39">
        <v>0</v>
      </c>
      <c r="F23" s="39">
        <v>0</v>
      </c>
      <c r="G23" s="13">
        <f t="shared" si="4"/>
        <v>250000</v>
      </c>
      <c r="H23" s="8">
        <v>0</v>
      </c>
      <c r="I23" s="8">
        <f t="shared" si="8"/>
        <v>250000</v>
      </c>
      <c r="J23" s="8">
        <v>0</v>
      </c>
      <c r="K23" s="8">
        <v>250000</v>
      </c>
      <c r="L23" s="3"/>
      <c r="M23" s="13"/>
      <c r="N23" s="59"/>
      <c r="O23" s="59"/>
      <c r="P23" s="8">
        <v>0</v>
      </c>
      <c r="Q23" s="8">
        <f t="shared" si="6"/>
        <v>300000</v>
      </c>
      <c r="R23" s="8">
        <v>0</v>
      </c>
      <c r="S23" s="8">
        <v>300000</v>
      </c>
      <c r="T23" s="8">
        <v>0</v>
      </c>
      <c r="U23" s="8">
        <f t="shared" si="7"/>
        <v>300000</v>
      </c>
      <c r="V23" s="8">
        <v>0</v>
      </c>
      <c r="W23" s="8">
        <v>300000</v>
      </c>
    </row>
    <row r="24" spans="1:23" s="35" customFormat="1" ht="45" x14ac:dyDescent="0.25">
      <c r="A24" s="236" t="s">
        <v>229</v>
      </c>
      <c r="B24" s="39" t="s">
        <v>230</v>
      </c>
      <c r="C24" s="39">
        <v>0</v>
      </c>
      <c r="D24" s="39">
        <v>537620</v>
      </c>
      <c r="E24" s="39">
        <v>0</v>
      </c>
      <c r="F24" s="39">
        <v>247614.16</v>
      </c>
      <c r="G24" s="13">
        <f t="shared" si="4"/>
        <v>32160</v>
      </c>
      <c r="H24" s="8">
        <v>0</v>
      </c>
      <c r="I24" s="8">
        <f t="shared" si="8"/>
        <v>32160</v>
      </c>
      <c r="J24" s="8">
        <v>0</v>
      </c>
      <c r="K24" s="8">
        <v>32160</v>
      </c>
      <c r="L24" s="3"/>
      <c r="M24" s="13"/>
      <c r="N24" s="59"/>
      <c r="O24" s="59"/>
      <c r="P24" s="8">
        <v>0</v>
      </c>
      <c r="Q24" s="8">
        <f t="shared" si="6"/>
        <v>32160</v>
      </c>
      <c r="R24" s="8">
        <v>0</v>
      </c>
      <c r="S24" s="8">
        <v>32160</v>
      </c>
      <c r="T24" s="8">
        <v>0</v>
      </c>
      <c r="U24" s="8">
        <f t="shared" si="7"/>
        <v>30000</v>
      </c>
      <c r="V24" s="8">
        <v>0</v>
      </c>
      <c r="W24" s="8">
        <v>30000</v>
      </c>
    </row>
    <row r="25" spans="1:23" s="35" customFormat="1" ht="45" x14ac:dyDescent="0.25">
      <c r="A25" s="236" t="s">
        <v>231</v>
      </c>
      <c r="B25" s="39" t="s">
        <v>232</v>
      </c>
      <c r="C25" s="39">
        <v>0</v>
      </c>
      <c r="D25" s="39">
        <v>0</v>
      </c>
      <c r="E25" s="39">
        <v>0</v>
      </c>
      <c r="F25" s="39">
        <v>0</v>
      </c>
      <c r="G25" s="13">
        <f t="shared" si="4"/>
        <v>100000</v>
      </c>
      <c r="H25" s="8">
        <v>0</v>
      </c>
      <c r="I25" s="8">
        <f t="shared" si="8"/>
        <v>100000</v>
      </c>
      <c r="J25" s="8">
        <v>0</v>
      </c>
      <c r="K25" s="8">
        <v>100000</v>
      </c>
      <c r="L25" s="3"/>
      <c r="M25" s="13"/>
      <c r="N25" s="59"/>
      <c r="O25" s="59"/>
      <c r="P25" s="8">
        <v>0</v>
      </c>
      <c r="Q25" s="8">
        <f t="shared" si="6"/>
        <v>100000</v>
      </c>
      <c r="R25" s="8">
        <v>0</v>
      </c>
      <c r="S25" s="8">
        <v>100000</v>
      </c>
      <c r="T25" s="8">
        <v>0</v>
      </c>
      <c r="U25" s="8">
        <f t="shared" si="7"/>
        <v>100000</v>
      </c>
      <c r="V25" s="8">
        <v>0</v>
      </c>
      <c r="W25" s="8">
        <v>100000</v>
      </c>
    </row>
    <row r="26" spans="1:23" s="35" customFormat="1" ht="30" x14ac:dyDescent="0.25">
      <c r="A26" s="236" t="s">
        <v>233</v>
      </c>
      <c r="B26" s="39" t="s">
        <v>234</v>
      </c>
      <c r="C26" s="39">
        <v>0</v>
      </c>
      <c r="D26" s="39">
        <v>408287.26</v>
      </c>
      <c r="E26" s="39">
        <v>0</v>
      </c>
      <c r="F26" s="39">
        <v>260119.05</v>
      </c>
      <c r="G26" s="13">
        <f t="shared" si="4"/>
        <v>230000</v>
      </c>
      <c r="H26" s="8">
        <v>0</v>
      </c>
      <c r="I26" s="8">
        <f t="shared" si="8"/>
        <v>230000</v>
      </c>
      <c r="J26" s="8">
        <v>0</v>
      </c>
      <c r="K26" s="8">
        <v>230000</v>
      </c>
      <c r="L26" s="3"/>
      <c r="M26" s="13"/>
      <c r="N26" s="59"/>
      <c r="O26" s="59"/>
      <c r="P26" s="8">
        <v>0</v>
      </c>
      <c r="Q26" s="8">
        <f t="shared" si="6"/>
        <v>300000</v>
      </c>
      <c r="R26" s="8">
        <v>0</v>
      </c>
      <c r="S26" s="8">
        <v>300000</v>
      </c>
      <c r="T26" s="8">
        <v>0</v>
      </c>
      <c r="U26" s="8">
        <f t="shared" si="7"/>
        <v>160000</v>
      </c>
      <c r="V26" s="8">
        <v>0</v>
      </c>
      <c r="W26" s="8">
        <v>160000</v>
      </c>
    </row>
    <row r="27" spans="1:23" s="35" customFormat="1" ht="45" x14ac:dyDescent="0.25">
      <c r="A27" s="236" t="s">
        <v>235</v>
      </c>
      <c r="B27" s="39" t="s">
        <v>236</v>
      </c>
      <c r="C27" s="39">
        <v>0</v>
      </c>
      <c r="D27" s="39">
        <v>0</v>
      </c>
      <c r="E27" s="39">
        <v>0</v>
      </c>
      <c r="F27" s="39">
        <v>0</v>
      </c>
      <c r="G27" s="13">
        <f t="shared" si="4"/>
        <v>300000</v>
      </c>
      <c r="H27" s="8">
        <v>0</v>
      </c>
      <c r="I27" s="8">
        <f t="shared" si="8"/>
        <v>300000</v>
      </c>
      <c r="J27" s="8">
        <v>0</v>
      </c>
      <c r="K27" s="8">
        <v>300000</v>
      </c>
      <c r="L27" s="3"/>
      <c r="M27" s="13"/>
      <c r="N27" s="59"/>
      <c r="O27" s="59"/>
      <c r="P27" s="8">
        <v>0</v>
      </c>
      <c r="Q27" s="8">
        <f t="shared" si="6"/>
        <v>300000</v>
      </c>
      <c r="R27" s="8">
        <v>0</v>
      </c>
      <c r="S27" s="8">
        <v>300000</v>
      </c>
      <c r="T27" s="8">
        <v>0</v>
      </c>
      <c r="U27" s="8">
        <f t="shared" si="7"/>
        <v>300000</v>
      </c>
      <c r="V27" s="8">
        <v>0</v>
      </c>
      <c r="W27" s="8">
        <v>300000</v>
      </c>
    </row>
    <row r="28" spans="1:23" s="35" customFormat="1" ht="15.75" customHeight="1" x14ac:dyDescent="0.25">
      <c r="A28" s="236" t="s">
        <v>237</v>
      </c>
      <c r="B28" s="39" t="s">
        <v>238</v>
      </c>
      <c r="C28" s="39">
        <v>0</v>
      </c>
      <c r="D28" s="39">
        <v>200000</v>
      </c>
      <c r="E28" s="39">
        <v>0</v>
      </c>
      <c r="F28" s="39">
        <v>119711.63</v>
      </c>
      <c r="G28" s="13">
        <f t="shared" si="4"/>
        <v>20000</v>
      </c>
      <c r="H28" s="8">
        <v>0</v>
      </c>
      <c r="I28" s="8">
        <f t="shared" si="8"/>
        <v>20000</v>
      </c>
      <c r="J28" s="8">
        <v>0</v>
      </c>
      <c r="K28" s="8">
        <v>20000</v>
      </c>
      <c r="L28" s="8"/>
      <c r="M28" s="13"/>
      <c r="N28" s="59"/>
      <c r="O28" s="59"/>
      <c r="P28" s="8">
        <v>0</v>
      </c>
      <c r="Q28" s="8">
        <f>R28+S28</f>
        <v>38073.68</v>
      </c>
      <c r="R28" s="8">
        <v>0</v>
      </c>
      <c r="S28" s="8">
        <v>38073.68</v>
      </c>
      <c r="T28" s="8">
        <v>0</v>
      </c>
      <c r="U28" s="8">
        <f t="shared" si="7"/>
        <v>20000</v>
      </c>
      <c r="V28" s="8">
        <v>0</v>
      </c>
      <c r="W28" s="8">
        <v>20000</v>
      </c>
    </row>
    <row r="29" spans="1:23" s="35" customFormat="1" ht="15.75" customHeight="1" x14ac:dyDescent="0.25">
      <c r="A29" s="236"/>
      <c r="B29" s="39" t="s">
        <v>432</v>
      </c>
      <c r="C29" s="39">
        <v>0</v>
      </c>
      <c r="D29" s="39">
        <v>2142992.63</v>
      </c>
      <c r="E29" s="39">
        <v>0</v>
      </c>
      <c r="F29" s="39">
        <v>1303580</v>
      </c>
      <c r="G29" s="13">
        <v>0</v>
      </c>
      <c r="H29" s="8">
        <v>0</v>
      </c>
      <c r="I29" s="8">
        <f>J29+K29</f>
        <v>0</v>
      </c>
      <c r="J29" s="8">
        <v>0</v>
      </c>
      <c r="K29" s="8">
        <v>0</v>
      </c>
      <c r="L29" s="8"/>
      <c r="M29" s="13"/>
      <c r="N29" s="59"/>
      <c r="O29" s="59"/>
      <c r="P29" s="8"/>
      <c r="Q29" s="8"/>
      <c r="R29" s="8"/>
      <c r="S29" s="8"/>
      <c r="T29" s="8"/>
      <c r="U29" s="8"/>
      <c r="V29" s="8"/>
      <c r="W29" s="8"/>
    </row>
    <row r="30" spans="1:23" s="35" customFormat="1" x14ac:dyDescent="0.25">
      <c r="A30" s="237"/>
      <c r="B30" s="15" t="s">
        <v>14</v>
      </c>
      <c r="C30" s="15">
        <f>SUM(C12+C18)</f>
        <v>21690200</v>
      </c>
      <c r="D30" s="15">
        <f t="shared" ref="D30:F30" si="9">SUM(D12+D18)</f>
        <v>13088131.359999999</v>
      </c>
      <c r="E30" s="15">
        <f t="shared" si="9"/>
        <v>13995448.789999999</v>
      </c>
      <c r="F30" s="15">
        <f t="shared" si="9"/>
        <v>8729298.2599999998</v>
      </c>
      <c r="G30" s="13">
        <f t="shared" si="4"/>
        <v>30157988.609999999</v>
      </c>
      <c r="H30" s="16">
        <f>H18+H12</f>
        <v>20342000</v>
      </c>
      <c r="I30" s="16">
        <f>I18+I12</f>
        <v>9815988.6099999994</v>
      </c>
      <c r="J30" s="16">
        <f>J18+J12</f>
        <v>1070631.58</v>
      </c>
      <c r="K30" s="16">
        <f>K18+K12</f>
        <v>8745357.0299999993</v>
      </c>
      <c r="L30" s="16">
        <f>L18+L12</f>
        <v>7016485.5899999999</v>
      </c>
      <c r="M30" s="16"/>
      <c r="N30" s="18">
        <f>SUM(N12:N29)</f>
        <v>832400</v>
      </c>
      <c r="O30" s="18">
        <f>SUM(O12:O29)</f>
        <v>1167600</v>
      </c>
      <c r="P30" s="16">
        <f>P12+P18</f>
        <v>20342000</v>
      </c>
      <c r="Q30" s="16">
        <f>Q18+Q12</f>
        <v>9010700</v>
      </c>
      <c r="R30" s="16">
        <f>R18+R12</f>
        <v>1070631.58</v>
      </c>
      <c r="S30" s="16">
        <f>S12</f>
        <v>2599499.48</v>
      </c>
      <c r="T30" s="16">
        <f>T12+T18</f>
        <v>20342000</v>
      </c>
      <c r="U30" s="16">
        <f>U18+U12</f>
        <v>8850500</v>
      </c>
      <c r="V30" s="16">
        <f>V18+V12</f>
        <v>1070631.58</v>
      </c>
      <c r="W30" s="16">
        <f>W12</f>
        <v>2599499.48</v>
      </c>
    </row>
  </sheetData>
  <customSheetViews>
    <customSheetView guid="{F55D2626-B25D-4865-88D7-A4040A583D45}" scale="85" showPageBreaks="1" fitToPage="1" topLeftCell="C1">
      <pane ySplit="11" topLeftCell="A24" activePane="bottomLeft" state="frozen"/>
      <selection pane="bottomLeft" activeCell="M31" sqref="M31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85" showPageBreaks="1" fitToPage="1">
      <pane ySplit="11" topLeftCell="A27" activePane="bottomLeft" state="frozen"/>
      <selection pane="bottomLeft" activeCell="N18" sqref="N18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85" showPageBreaks="1" fitToPage="1">
      <pane ySplit="11" topLeftCell="A20" activePane="bottomLeft" state="frozen"/>
      <selection pane="bottomLeft" activeCell="C30" sqref="C30:D30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"/>
    </customSheetView>
    <customSheetView guid="{8286488C-3E2A-4969-AFC8-11C0D17DBFA2}" scale="85" showPageBreaks="1" fitToPage="1">
      <pane ySplit="11" topLeftCell="A12" activePane="bottomLeft" state="frozen"/>
      <selection pane="bottomLeft" activeCell="D38" sqref="D3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85" fitToPage="1">
      <pane ySplit="11" topLeftCell="A12" activePane="bottomLeft" state="frozen"/>
      <selection pane="bottomLeft" activeCell="E14" sqref="E14:F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85" showPageBreaks="1" fitToPage="1">
      <pane ySplit="11" topLeftCell="A27" activePane="bottomLeft" state="frozen"/>
      <selection pane="bottomLeft" activeCell="J54" sqref="J5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85" fitToPage="1">
      <pane ySplit="11" topLeftCell="A27" activePane="bottomLeft" state="frozen"/>
      <selection pane="bottomLeft" activeCell="C29" sqref="C29:D2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50" showPageBreaks="1" fitToPage="1">
      <pane ySplit="11" topLeftCell="A12" activePane="bottomLeft" state="frozen"/>
      <selection pane="bottomLeft" activeCell="A32" sqref="A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50" showPageBreaks="1" fitToPage="1">
      <pane ySplit="11" topLeftCell="A12" activePane="bottomLeft" state="frozen"/>
      <selection pane="bottomLeft" activeCell="A32" sqref="A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50" showPageBreaks="1" fitToPage="1">
      <pane ySplit="11" topLeftCell="A30" activePane="bottomLeft" state="frozen"/>
      <selection pane="bottomLeft" activeCell="A32" sqref="A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50" showPageBreaks="1" fitToPage="1">
      <pane ySplit="11" topLeftCell="A30" activePane="bottomLeft" state="frozen"/>
      <selection pane="bottomLeft" activeCell="A42" sqref="A42:XFD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85" showPageBreaks="1" fitToPage="1">
      <pane ySplit="11" topLeftCell="A27" activePane="bottomLeft" state="frozen"/>
      <selection pane="bottomLeft" activeCell="C29" sqref="C29:D2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50" showPageBreaks="1" fitToPage="1">
      <pane ySplit="11" topLeftCell="A12" activePane="bottomLeft" state="frozen"/>
      <selection pane="bottomLeft" activeCell="A32" sqref="A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80" showPageBreaks="1" fitToPage="1" topLeftCell="B1">
      <pane ySplit="11" topLeftCell="A12" activePane="bottomLeft" state="frozen"/>
      <selection pane="bottomLeft" activeCell="B16" sqref="B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85" showPageBreaks="1" fitToPage="1">
      <pane ySplit="11" topLeftCell="A21" activePane="bottomLeft" state="frozen"/>
      <selection pane="bottomLeft" activeCell="H21" sqref="H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50" showPageBreaks="1" fitToPage="1">
      <pane ySplit="11" topLeftCell="A15" activePane="bottomLeft" state="frozen"/>
      <selection pane="bottomLeft" activeCell="A32" sqref="A32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6:F6"/>
    <mergeCell ref="M8:M10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L8:L10"/>
    <mergeCell ref="O6:O10"/>
    <mergeCell ref="N6:N10"/>
    <mergeCell ref="Q8:Q10"/>
    <mergeCell ref="U8:U10"/>
    <mergeCell ref="G6:G10"/>
    <mergeCell ref="C7:D9"/>
    <mergeCell ref="E7:F9"/>
  </mergeCells>
  <pageMargins left="0.31496062992125984" right="0.31496062992125984" top="0.35433070866141736" bottom="0.35433070866141736" header="0.31496062992125984" footer="0.31496062992125984"/>
  <pageSetup paperSize="9" scale="30" fitToHeight="2" orientation="landscape" verticalDpi="180" r:id="rId17"/>
  <legacyDrawing r:id="rId18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63"/>
  <sheetViews>
    <sheetView zoomScale="90" zoomScaleNormal="90" workbookViewId="0">
      <pane ySplit="11" topLeftCell="A24" activePane="bottomLeft" state="frozen"/>
      <selection activeCell="H14" sqref="H14"/>
      <selection pane="bottomLeft" activeCell="L33" sqref="L33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5" width="15.85546875" style="2" customWidth="1"/>
    <col min="6" max="6" width="14.5703125" style="2" customWidth="1"/>
    <col min="7" max="7" width="15" style="2" customWidth="1"/>
    <col min="8" max="8" width="16.42578125" style="2" customWidth="1"/>
    <col min="9" max="9" width="16.28515625" style="2" customWidth="1"/>
    <col min="10" max="10" width="14.5703125" style="2" customWidth="1"/>
    <col min="11" max="11" width="16.28515625" style="2" customWidth="1"/>
    <col min="12" max="12" width="17.5703125" style="2" customWidth="1"/>
    <col min="13" max="13" width="56.42578125" style="2" customWidth="1"/>
    <col min="14" max="15" width="15.285156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30.75" customHeight="1" x14ac:dyDescent="0.25">
      <c r="A4" s="291" t="s">
        <v>63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334" t="s">
        <v>395</v>
      </c>
      <c r="D6" s="335"/>
      <c r="E6" s="335"/>
      <c r="F6" s="336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89.2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x14ac:dyDescent="0.25">
      <c r="A12" s="234"/>
      <c r="B12" s="50" t="s">
        <v>197</v>
      </c>
      <c r="C12" s="50">
        <f>C13+C51+C52+C53+C54+C55</f>
        <v>491905900</v>
      </c>
      <c r="D12" s="50">
        <f t="shared" ref="D12:F12" si="0">D13+D51+D52+D53+D54+D55</f>
        <v>103733196.09</v>
      </c>
      <c r="E12" s="50">
        <f t="shared" si="0"/>
        <v>339762821.75</v>
      </c>
      <c r="F12" s="50">
        <f t="shared" si="0"/>
        <v>68488373.609999999</v>
      </c>
      <c r="G12" s="50">
        <f>H12+I12</f>
        <v>630392267.58000004</v>
      </c>
      <c r="H12" s="51">
        <f>H13</f>
        <v>540839500</v>
      </c>
      <c r="I12" s="52">
        <f>I15</f>
        <v>89552767.579999998</v>
      </c>
      <c r="J12" s="50"/>
      <c r="K12" s="51">
        <f>K15</f>
        <v>89552767.579999998</v>
      </c>
      <c r="L12" s="53">
        <f>L15</f>
        <v>34719643.780000001</v>
      </c>
      <c r="M12" s="54"/>
      <c r="N12" s="36"/>
      <c r="O12" s="36"/>
      <c r="P12" s="51">
        <f>P13</f>
        <v>536870500</v>
      </c>
      <c r="Q12" s="51">
        <f>Q13</f>
        <v>87229600</v>
      </c>
      <c r="R12" s="50"/>
      <c r="S12" s="51">
        <f>S13</f>
        <v>87229600</v>
      </c>
      <c r="T12" s="51">
        <f>T13</f>
        <v>536870500</v>
      </c>
      <c r="U12" s="52">
        <f>U13</f>
        <v>85678800.000000015</v>
      </c>
      <c r="V12" s="50"/>
      <c r="W12" s="51">
        <f>W13</f>
        <v>85678800.000000015</v>
      </c>
    </row>
    <row r="13" spans="1:23" ht="60" x14ac:dyDescent="0.25">
      <c r="A13" s="234" t="s">
        <v>198</v>
      </c>
      <c r="B13" s="13" t="s">
        <v>199</v>
      </c>
      <c r="C13" s="13">
        <f>C14+C15</f>
        <v>491905900</v>
      </c>
      <c r="D13" s="13">
        <f t="shared" ref="D13:F13" si="1">D14+D15</f>
        <v>103510798.67</v>
      </c>
      <c r="E13" s="13">
        <f t="shared" si="1"/>
        <v>339762821.75</v>
      </c>
      <c r="F13" s="13">
        <f t="shared" si="1"/>
        <v>68378476.189999998</v>
      </c>
      <c r="G13" s="50">
        <f t="shared" ref="G13:G63" si="2">H13+I13</f>
        <v>540839500</v>
      </c>
      <c r="H13" s="51">
        <f>H14+H15</f>
        <v>540839500</v>
      </c>
      <c r="I13" s="6"/>
      <c r="J13" s="50"/>
      <c r="K13" s="51">
        <f>K15</f>
        <v>89552767.579999998</v>
      </c>
      <c r="L13" s="51">
        <f>L15</f>
        <v>34719643.780000001</v>
      </c>
      <c r="M13" s="54"/>
      <c r="N13" s="36"/>
      <c r="O13" s="36"/>
      <c r="P13" s="51">
        <f>P14+P15</f>
        <v>536870500</v>
      </c>
      <c r="Q13" s="52">
        <f>Q15</f>
        <v>87229600</v>
      </c>
      <c r="R13" s="50"/>
      <c r="S13" s="51">
        <f>S15</f>
        <v>87229600</v>
      </c>
      <c r="T13" s="51">
        <f>T14+T15</f>
        <v>536870500</v>
      </c>
      <c r="U13" s="52">
        <f>U15</f>
        <v>85678800.000000015</v>
      </c>
      <c r="V13" s="50"/>
      <c r="W13" s="51">
        <f>W15</f>
        <v>85678800.000000015</v>
      </c>
    </row>
    <row r="14" spans="1:23" ht="75" x14ac:dyDescent="0.25">
      <c r="A14" s="234"/>
      <c r="B14" s="55" t="s">
        <v>200</v>
      </c>
      <c r="C14" s="55">
        <v>13519000</v>
      </c>
      <c r="D14" s="55">
        <v>0</v>
      </c>
      <c r="E14" s="55">
        <v>9241436.2799999993</v>
      </c>
      <c r="F14" s="55">
        <v>0</v>
      </c>
      <c r="G14" s="50">
        <f t="shared" si="2"/>
        <v>19150000</v>
      </c>
      <c r="H14" s="8">
        <v>19150000</v>
      </c>
      <c r="I14" s="6"/>
      <c r="J14" s="50"/>
      <c r="K14" s="54"/>
      <c r="L14" s="50"/>
      <c r="M14" s="54"/>
      <c r="N14" s="40"/>
      <c r="O14" s="40"/>
      <c r="P14" s="8">
        <v>15181000</v>
      </c>
      <c r="Q14" s="6"/>
      <c r="R14" s="50"/>
      <c r="S14" s="54"/>
      <c r="T14" s="8">
        <v>15181000</v>
      </c>
      <c r="U14" s="6"/>
      <c r="V14" s="50"/>
      <c r="W14" s="54"/>
    </row>
    <row r="15" spans="1:23" ht="90" x14ac:dyDescent="0.25">
      <c r="A15" s="234"/>
      <c r="B15" s="13" t="s">
        <v>201</v>
      </c>
      <c r="C15" s="13">
        <f>478224900+162000</f>
        <v>478386900</v>
      </c>
      <c r="D15" s="13">
        <v>103510798.67</v>
      </c>
      <c r="E15" s="13">
        <f>330359385.47+162000</f>
        <v>330521385.47000003</v>
      </c>
      <c r="F15" s="13">
        <v>68378476.189999998</v>
      </c>
      <c r="G15" s="50">
        <f t="shared" si="2"/>
        <v>611242267.58000004</v>
      </c>
      <c r="H15" s="8">
        <v>521689500</v>
      </c>
      <c r="I15" s="8">
        <f>J15+K15</f>
        <v>89552767.579999998</v>
      </c>
      <c r="J15" s="8">
        <f>J17+J23+J32+J41+J50</f>
        <v>0</v>
      </c>
      <c r="K15" s="8">
        <f>K17+K23+K32+K41+K50</f>
        <v>89552767.579999998</v>
      </c>
      <c r="L15" s="8">
        <f>L17+L23+L32+L41+L50+L51+L55</f>
        <v>34719643.780000001</v>
      </c>
      <c r="M15" s="38"/>
      <c r="N15" s="42"/>
      <c r="O15" s="42"/>
      <c r="P15" s="8">
        <v>521689500</v>
      </c>
      <c r="Q15" s="8">
        <f>R15+S15</f>
        <v>87229600</v>
      </c>
      <c r="R15" s="8">
        <f t="shared" ref="R15:W15" si="3">R17+R23+R32+R41+R50</f>
        <v>0</v>
      </c>
      <c r="S15" s="8">
        <f t="shared" si="3"/>
        <v>87229600</v>
      </c>
      <c r="T15" s="8">
        <v>521689500</v>
      </c>
      <c r="U15" s="8">
        <f>V15+W15</f>
        <v>85678800.000000015</v>
      </c>
      <c r="V15" s="8">
        <f t="shared" si="3"/>
        <v>0</v>
      </c>
      <c r="W15" s="8">
        <f t="shared" si="3"/>
        <v>85678800.000000015</v>
      </c>
    </row>
    <row r="16" spans="1:23" x14ac:dyDescent="0.25">
      <c r="A16" s="233"/>
      <c r="B16" s="37" t="s">
        <v>1</v>
      </c>
      <c r="C16" s="37"/>
      <c r="D16" s="37"/>
      <c r="E16" s="37"/>
      <c r="F16" s="37"/>
      <c r="G16" s="50">
        <f t="shared" si="2"/>
        <v>0</v>
      </c>
      <c r="H16" s="8"/>
      <c r="I16" s="8">
        <f t="shared" ref="I16:I50" si="4">J16+K16</f>
        <v>0</v>
      </c>
      <c r="J16" s="8"/>
      <c r="K16" s="8"/>
      <c r="L16" s="8"/>
      <c r="M16" s="38"/>
      <c r="N16" s="42"/>
      <c r="O16" s="42"/>
      <c r="P16" s="8"/>
      <c r="Q16" s="8">
        <f t="shared" ref="Q16:Q50" si="5">R16+S16</f>
        <v>0</v>
      </c>
      <c r="R16" s="8"/>
      <c r="S16" s="8"/>
      <c r="T16" s="8"/>
      <c r="U16" s="8">
        <f t="shared" ref="U16:U50" si="6">V16+W16</f>
        <v>0</v>
      </c>
      <c r="V16" s="8"/>
      <c r="W16" s="8"/>
    </row>
    <row r="17" spans="1:25" s="58" customFormat="1" x14ac:dyDescent="0.25">
      <c r="A17" s="235" t="s">
        <v>4</v>
      </c>
      <c r="B17" s="56" t="s">
        <v>2</v>
      </c>
      <c r="C17" s="56"/>
      <c r="D17" s="56"/>
      <c r="E17" s="56"/>
      <c r="F17" s="56"/>
      <c r="G17" s="50">
        <f t="shared" si="2"/>
        <v>20909989.48</v>
      </c>
      <c r="H17" s="45"/>
      <c r="I17" s="45">
        <f>J17+K17</f>
        <v>20909989.48</v>
      </c>
      <c r="J17" s="45"/>
      <c r="K17" s="45">
        <f>SUM(K18:K22)</f>
        <v>20909989.48</v>
      </c>
      <c r="L17" s="45"/>
      <c r="M17" s="15"/>
      <c r="N17" s="42"/>
      <c r="O17" s="42"/>
      <c r="P17" s="45"/>
      <c r="Q17" s="45">
        <f t="shared" si="5"/>
        <v>19621257.100000001</v>
      </c>
      <c r="R17" s="45"/>
      <c r="S17" s="45">
        <f>SUM(S18:S22)</f>
        <v>19621257.100000001</v>
      </c>
      <c r="T17" s="45"/>
      <c r="U17" s="45">
        <f t="shared" si="6"/>
        <v>19621257.100000001</v>
      </c>
      <c r="V17" s="45"/>
      <c r="W17" s="45">
        <v>19621257.100000001</v>
      </c>
      <c r="X17" s="57"/>
      <c r="Y17" s="57"/>
    </row>
    <row r="18" spans="1:25" x14ac:dyDescent="0.25">
      <c r="A18" s="236"/>
      <c r="B18" s="39" t="s">
        <v>253</v>
      </c>
      <c r="C18" s="39"/>
      <c r="D18" s="39"/>
      <c r="E18" s="39"/>
      <c r="F18" s="39"/>
      <c r="G18" s="50">
        <f t="shared" si="2"/>
        <v>0</v>
      </c>
      <c r="H18" s="8"/>
      <c r="I18" s="8"/>
      <c r="J18" s="8"/>
      <c r="K18" s="8">
        <f>3550887.85+207350.35</f>
        <v>3758238.2</v>
      </c>
      <c r="L18" s="8"/>
      <c r="M18" s="38"/>
      <c r="N18" s="18"/>
      <c r="O18" s="18"/>
      <c r="P18" s="8"/>
      <c r="Q18" s="8">
        <f>S18</f>
        <v>3550887.85</v>
      </c>
      <c r="R18" s="8"/>
      <c r="S18" s="8">
        <v>3550887.85</v>
      </c>
      <c r="T18" s="8"/>
      <c r="U18" s="8">
        <f>W18</f>
        <v>3550887.85</v>
      </c>
      <c r="V18" s="8"/>
      <c r="W18" s="8">
        <v>3550887.85</v>
      </c>
    </row>
    <row r="19" spans="1:25" x14ac:dyDescent="0.25">
      <c r="A19" s="236"/>
      <c r="B19" s="39" t="s">
        <v>254</v>
      </c>
      <c r="C19" s="39"/>
      <c r="D19" s="39"/>
      <c r="E19" s="39"/>
      <c r="F19" s="39"/>
      <c r="G19" s="50">
        <f t="shared" si="2"/>
        <v>0</v>
      </c>
      <c r="H19" s="8"/>
      <c r="I19" s="8"/>
      <c r="J19" s="8"/>
      <c r="K19" s="8">
        <f>3614510.28+260459.64</f>
        <v>3874969.92</v>
      </c>
      <c r="L19" s="8"/>
      <c r="M19" s="38"/>
      <c r="N19" s="59"/>
      <c r="O19" s="59"/>
      <c r="P19" s="8"/>
      <c r="Q19" s="8">
        <f t="shared" ref="Q19:Q22" si="7">S19</f>
        <v>3614510.28</v>
      </c>
      <c r="R19" s="8"/>
      <c r="S19" s="8">
        <v>3614510.28</v>
      </c>
      <c r="T19" s="8"/>
      <c r="U19" s="8">
        <f t="shared" ref="U19:U22" si="8">W19</f>
        <v>3614510.28</v>
      </c>
      <c r="V19" s="8"/>
      <c r="W19" s="8">
        <v>3614510.28</v>
      </c>
    </row>
    <row r="20" spans="1:25" x14ac:dyDescent="0.25">
      <c r="A20" s="236"/>
      <c r="B20" s="39" t="s">
        <v>255</v>
      </c>
      <c r="C20" s="39"/>
      <c r="D20" s="39"/>
      <c r="E20" s="39"/>
      <c r="F20" s="39"/>
      <c r="G20" s="50">
        <f t="shared" si="2"/>
        <v>0</v>
      </c>
      <c r="H20" s="8"/>
      <c r="I20" s="8"/>
      <c r="J20" s="8"/>
      <c r="K20" s="8">
        <f>3551433.55+207371.09</f>
        <v>3758804.6399999997</v>
      </c>
      <c r="L20" s="8"/>
      <c r="M20" s="38"/>
      <c r="N20" s="59"/>
      <c r="O20" s="59"/>
      <c r="P20" s="8"/>
      <c r="Q20" s="8">
        <f t="shared" si="7"/>
        <v>3551433.55</v>
      </c>
      <c r="R20" s="8"/>
      <c r="S20" s="8">
        <v>3551433.55</v>
      </c>
      <c r="T20" s="8"/>
      <c r="U20" s="8">
        <f t="shared" si="8"/>
        <v>3551433.55</v>
      </c>
      <c r="V20" s="8"/>
      <c r="W20" s="8">
        <v>3551433.55</v>
      </c>
    </row>
    <row r="21" spans="1:25" x14ac:dyDescent="0.25">
      <c r="A21" s="236"/>
      <c r="B21" s="39" t="s">
        <v>159</v>
      </c>
      <c r="C21" s="39"/>
      <c r="D21" s="39"/>
      <c r="E21" s="39"/>
      <c r="F21" s="39"/>
      <c r="G21" s="50">
        <f t="shared" si="2"/>
        <v>0</v>
      </c>
      <c r="H21" s="8"/>
      <c r="I21" s="8"/>
      <c r="J21" s="8"/>
      <c r="K21" s="8">
        <f>3407790.68+216395.98</f>
        <v>3624186.66</v>
      </c>
      <c r="L21" s="8"/>
      <c r="M21" s="38"/>
      <c r="N21" s="59"/>
      <c r="O21" s="59"/>
      <c r="P21" s="8"/>
      <c r="Q21" s="8">
        <f t="shared" si="7"/>
        <v>3407790.68</v>
      </c>
      <c r="R21" s="8"/>
      <c r="S21" s="8">
        <v>3407790.68</v>
      </c>
      <c r="T21" s="8"/>
      <c r="U21" s="8">
        <f t="shared" si="8"/>
        <v>3407790.68</v>
      </c>
      <c r="V21" s="8"/>
      <c r="W21" s="8">
        <v>3407790.68</v>
      </c>
    </row>
    <row r="22" spans="1:25" x14ac:dyDescent="0.25">
      <c r="A22" s="236"/>
      <c r="B22" s="39" t="s">
        <v>256</v>
      </c>
      <c r="C22" s="39"/>
      <c r="D22" s="39"/>
      <c r="E22" s="39"/>
      <c r="F22" s="39"/>
      <c r="G22" s="50">
        <f t="shared" si="2"/>
        <v>0</v>
      </c>
      <c r="H22" s="8"/>
      <c r="I22" s="8"/>
      <c r="J22" s="8"/>
      <c r="K22" s="8">
        <f>5496634.74+397155.32</f>
        <v>5893790.0600000005</v>
      </c>
      <c r="L22" s="8"/>
      <c r="M22" s="38"/>
      <c r="N22" s="59"/>
      <c r="O22" s="59"/>
      <c r="P22" s="8"/>
      <c r="Q22" s="8">
        <f t="shared" si="7"/>
        <v>5496634.7400000002</v>
      </c>
      <c r="R22" s="8"/>
      <c r="S22" s="8">
        <v>5496634.7400000002</v>
      </c>
      <c r="T22" s="8"/>
      <c r="U22" s="8">
        <f t="shared" si="8"/>
        <v>5496634.7400000002</v>
      </c>
      <c r="V22" s="8"/>
      <c r="W22" s="8">
        <v>5496634.7400000002</v>
      </c>
    </row>
    <row r="23" spans="1:25" s="58" customFormat="1" ht="30" x14ac:dyDescent="0.25">
      <c r="A23" s="235" t="s">
        <v>5</v>
      </c>
      <c r="B23" s="46" t="s">
        <v>10</v>
      </c>
      <c r="C23" s="46"/>
      <c r="D23" s="46"/>
      <c r="E23" s="46"/>
      <c r="F23" s="46"/>
      <c r="G23" s="50">
        <f t="shared" si="2"/>
        <v>26058899.609999999</v>
      </c>
      <c r="H23" s="45"/>
      <c r="I23" s="45">
        <f t="shared" si="4"/>
        <v>26058899.609999999</v>
      </c>
      <c r="J23" s="45"/>
      <c r="K23" s="45">
        <f>SUM(K24:K31)</f>
        <v>26058899.609999999</v>
      </c>
      <c r="L23" s="45"/>
      <c r="M23" s="56"/>
      <c r="N23" s="59"/>
      <c r="O23" s="59"/>
      <c r="P23" s="45"/>
      <c r="Q23" s="45">
        <f t="shared" si="5"/>
        <v>26705579.549999997</v>
      </c>
      <c r="R23" s="45"/>
      <c r="S23" s="45">
        <f>SUM(S24:S31)</f>
        <v>26705579.549999997</v>
      </c>
      <c r="T23" s="45"/>
      <c r="U23" s="45">
        <f t="shared" si="6"/>
        <v>26705579.550000001</v>
      </c>
      <c r="V23" s="45"/>
      <c r="W23" s="45">
        <v>26705579.550000001</v>
      </c>
      <c r="X23" s="57"/>
      <c r="Y23" s="57"/>
    </row>
    <row r="24" spans="1:25" x14ac:dyDescent="0.25">
      <c r="A24" s="236"/>
      <c r="B24" s="39" t="s">
        <v>251</v>
      </c>
      <c r="C24" s="39"/>
      <c r="D24" s="39"/>
      <c r="E24" s="39"/>
      <c r="F24" s="39"/>
      <c r="G24" s="50">
        <f t="shared" si="2"/>
        <v>0</v>
      </c>
      <c r="H24" s="8"/>
      <c r="I24" s="8"/>
      <c r="J24" s="8"/>
      <c r="K24" s="8">
        <v>3306801.34</v>
      </c>
      <c r="L24" s="8"/>
      <c r="M24" s="34"/>
      <c r="N24" s="59"/>
      <c r="O24" s="59"/>
      <c r="P24" s="8"/>
      <c r="Q24" s="8">
        <f>S24</f>
        <v>3326926.12</v>
      </c>
      <c r="R24" s="8"/>
      <c r="S24" s="8">
        <v>3326926.12</v>
      </c>
      <c r="T24" s="8"/>
      <c r="U24" s="8">
        <f>W24</f>
        <v>3326926.12</v>
      </c>
      <c r="V24" s="8"/>
      <c r="W24" s="8">
        <v>3326926.12</v>
      </c>
    </row>
    <row r="25" spans="1:25" x14ac:dyDescent="0.25">
      <c r="A25" s="236"/>
      <c r="B25" s="39" t="s">
        <v>160</v>
      </c>
      <c r="C25" s="39"/>
      <c r="D25" s="39"/>
      <c r="E25" s="39"/>
      <c r="F25" s="39"/>
      <c r="G25" s="50">
        <f t="shared" si="2"/>
        <v>0</v>
      </c>
      <c r="H25" s="8"/>
      <c r="I25" s="8"/>
      <c r="J25" s="8"/>
      <c r="K25" s="8">
        <v>2786582.51</v>
      </c>
      <c r="L25" s="8"/>
      <c r="M25" s="34"/>
      <c r="N25" s="59"/>
      <c r="O25" s="59"/>
      <c r="P25" s="8"/>
      <c r="Q25" s="8">
        <f t="shared" ref="Q25:Q31" si="9">S25</f>
        <v>2971590.46</v>
      </c>
      <c r="R25" s="8"/>
      <c r="S25" s="8">
        <v>2971590.46</v>
      </c>
      <c r="T25" s="8"/>
      <c r="U25" s="8">
        <f t="shared" ref="U25:U31" si="10">W25</f>
        <v>2971590.46</v>
      </c>
      <c r="V25" s="8"/>
      <c r="W25" s="8">
        <v>2971590.46</v>
      </c>
    </row>
    <row r="26" spans="1:25" x14ac:dyDescent="0.25">
      <c r="A26" s="236"/>
      <c r="B26" s="39" t="s">
        <v>252</v>
      </c>
      <c r="C26" s="39"/>
      <c r="D26" s="39"/>
      <c r="E26" s="39"/>
      <c r="F26" s="39"/>
      <c r="G26" s="50">
        <f t="shared" si="2"/>
        <v>0</v>
      </c>
      <c r="H26" s="8"/>
      <c r="I26" s="8"/>
      <c r="J26" s="8"/>
      <c r="K26" s="8">
        <v>5791738.25</v>
      </c>
      <c r="L26" s="8"/>
      <c r="M26" s="34"/>
      <c r="N26" s="59"/>
      <c r="O26" s="59"/>
      <c r="P26" s="8"/>
      <c r="Q26" s="8">
        <f t="shared" si="9"/>
        <v>5888796.1500000004</v>
      </c>
      <c r="R26" s="8"/>
      <c r="S26" s="8">
        <v>5888796.1500000004</v>
      </c>
      <c r="T26" s="8"/>
      <c r="U26" s="8">
        <f t="shared" si="10"/>
        <v>5888796.1500000004</v>
      </c>
      <c r="V26" s="8"/>
      <c r="W26" s="8">
        <v>5888796.1500000004</v>
      </c>
    </row>
    <row r="27" spans="1:25" x14ac:dyDescent="0.25">
      <c r="A27" s="236"/>
      <c r="B27" s="39" t="s">
        <v>253</v>
      </c>
      <c r="C27" s="39"/>
      <c r="D27" s="39"/>
      <c r="E27" s="39"/>
      <c r="F27" s="39"/>
      <c r="G27" s="50">
        <f t="shared" si="2"/>
        <v>0</v>
      </c>
      <c r="H27" s="8"/>
      <c r="I27" s="8"/>
      <c r="J27" s="8"/>
      <c r="K27" s="8">
        <v>3102473.32</v>
      </c>
      <c r="L27" s="8"/>
      <c r="M27" s="34"/>
      <c r="N27" s="59"/>
      <c r="O27" s="59"/>
      <c r="P27" s="8"/>
      <c r="Q27" s="8">
        <f t="shared" si="9"/>
        <v>3185698.57</v>
      </c>
      <c r="R27" s="8"/>
      <c r="S27" s="8">
        <v>3185698.57</v>
      </c>
      <c r="T27" s="8"/>
      <c r="U27" s="8">
        <f t="shared" si="10"/>
        <v>3185698.57</v>
      </c>
      <c r="V27" s="8"/>
      <c r="W27" s="8">
        <v>3185698.57</v>
      </c>
    </row>
    <row r="28" spans="1:25" x14ac:dyDescent="0.25">
      <c r="A28" s="236"/>
      <c r="B28" s="39" t="s">
        <v>254</v>
      </c>
      <c r="C28" s="39"/>
      <c r="D28" s="39"/>
      <c r="E28" s="39"/>
      <c r="F28" s="39"/>
      <c r="G28" s="50">
        <f t="shared" si="2"/>
        <v>0</v>
      </c>
      <c r="H28" s="8"/>
      <c r="I28" s="8"/>
      <c r="J28" s="8"/>
      <c r="K28" s="8">
        <v>2135894.58</v>
      </c>
      <c r="L28" s="8"/>
      <c r="M28" s="34"/>
      <c r="N28" s="59"/>
      <c r="O28" s="59"/>
      <c r="P28" s="8"/>
      <c r="Q28" s="8">
        <f t="shared" si="9"/>
        <v>2268798.65</v>
      </c>
      <c r="R28" s="8"/>
      <c r="S28" s="8">
        <v>2268798.65</v>
      </c>
      <c r="T28" s="8"/>
      <c r="U28" s="8">
        <f t="shared" si="10"/>
        <v>2268798.65</v>
      </c>
      <c r="V28" s="8"/>
      <c r="W28" s="8">
        <v>2268798.65</v>
      </c>
    </row>
    <row r="29" spans="1:25" x14ac:dyDescent="0.25">
      <c r="A29" s="236"/>
      <c r="B29" s="39" t="s">
        <v>255</v>
      </c>
      <c r="C29" s="39"/>
      <c r="D29" s="39"/>
      <c r="E29" s="39"/>
      <c r="F29" s="39"/>
      <c r="G29" s="50">
        <f t="shared" si="2"/>
        <v>0</v>
      </c>
      <c r="H29" s="8"/>
      <c r="I29" s="8"/>
      <c r="J29" s="8"/>
      <c r="K29" s="8">
        <v>2525549.86</v>
      </c>
      <c r="L29" s="8"/>
      <c r="M29" s="34"/>
      <c r="N29" s="59"/>
      <c r="O29" s="59"/>
      <c r="P29" s="8"/>
      <c r="Q29" s="8">
        <f t="shared" si="9"/>
        <v>2585625.98</v>
      </c>
      <c r="R29" s="8"/>
      <c r="S29" s="8">
        <v>2585625.98</v>
      </c>
      <c r="T29" s="8"/>
      <c r="U29" s="8">
        <f t="shared" si="10"/>
        <v>2585625.98</v>
      </c>
      <c r="V29" s="8"/>
      <c r="W29" s="8">
        <v>2585625.98</v>
      </c>
    </row>
    <row r="30" spans="1:25" x14ac:dyDescent="0.25">
      <c r="A30" s="236"/>
      <c r="B30" s="39" t="s">
        <v>159</v>
      </c>
      <c r="C30" s="39"/>
      <c r="D30" s="39"/>
      <c r="E30" s="39"/>
      <c r="F30" s="39"/>
      <c r="G30" s="50">
        <f t="shared" si="2"/>
        <v>0</v>
      </c>
      <c r="H30" s="8"/>
      <c r="I30" s="8"/>
      <c r="J30" s="8"/>
      <c r="K30" s="8">
        <v>2646713.0499999998</v>
      </c>
      <c r="L30" s="8"/>
      <c r="M30" s="34"/>
      <c r="N30" s="59"/>
      <c r="O30" s="59"/>
      <c r="P30" s="8"/>
      <c r="Q30" s="8">
        <f t="shared" si="9"/>
        <v>2675362.2599999998</v>
      </c>
      <c r="R30" s="8"/>
      <c r="S30" s="8">
        <v>2675362.2599999998</v>
      </c>
      <c r="T30" s="8"/>
      <c r="U30" s="8">
        <f t="shared" si="10"/>
        <v>2675362.2599999998</v>
      </c>
      <c r="V30" s="8"/>
      <c r="W30" s="8">
        <v>2675362.2599999998</v>
      </c>
    </row>
    <row r="31" spans="1:25" x14ac:dyDescent="0.25">
      <c r="A31" s="236"/>
      <c r="B31" s="39" t="s">
        <v>256</v>
      </c>
      <c r="C31" s="39"/>
      <c r="D31" s="39"/>
      <c r="E31" s="39"/>
      <c r="F31" s="39"/>
      <c r="G31" s="50">
        <f t="shared" si="2"/>
        <v>0</v>
      </c>
      <c r="H31" s="8"/>
      <c r="I31" s="8"/>
      <c r="J31" s="8"/>
      <c r="K31" s="8">
        <v>3763146.7</v>
      </c>
      <c r="L31" s="8"/>
      <c r="M31" s="34"/>
      <c r="N31" s="59"/>
      <c r="O31" s="59"/>
      <c r="P31" s="8"/>
      <c r="Q31" s="8">
        <f t="shared" si="9"/>
        <v>3802781.36</v>
      </c>
      <c r="R31" s="8"/>
      <c r="S31" s="8">
        <v>3802781.36</v>
      </c>
      <c r="T31" s="8"/>
      <c r="U31" s="8">
        <f t="shared" si="10"/>
        <v>3802781.36</v>
      </c>
      <c r="V31" s="8"/>
      <c r="W31" s="8">
        <v>3802781.36</v>
      </c>
    </row>
    <row r="32" spans="1:25" s="58" customFormat="1" ht="30" x14ac:dyDescent="0.25">
      <c r="A32" s="235" t="s">
        <v>6</v>
      </c>
      <c r="B32" s="46" t="s">
        <v>11</v>
      </c>
      <c r="C32" s="46"/>
      <c r="D32" s="46"/>
      <c r="E32" s="46"/>
      <c r="F32" s="46"/>
      <c r="G32" s="50">
        <f t="shared" si="2"/>
        <v>19102127.220000003</v>
      </c>
      <c r="H32" s="45"/>
      <c r="I32" s="45">
        <f t="shared" si="4"/>
        <v>19102127.220000003</v>
      </c>
      <c r="J32" s="45"/>
      <c r="K32" s="45">
        <f>SUM(K33:K40)+2185135.2</f>
        <v>19102127.220000003</v>
      </c>
      <c r="L32" s="45">
        <f>SUM(L33:L40)+2185135.2</f>
        <v>16025724.849999998</v>
      </c>
      <c r="M32" s="56" t="s">
        <v>202</v>
      </c>
      <c r="N32" s="59"/>
      <c r="O32" s="59"/>
      <c r="P32" s="45"/>
      <c r="Q32" s="45">
        <f t="shared" si="5"/>
        <v>18758864.390000001</v>
      </c>
      <c r="R32" s="45"/>
      <c r="S32" s="45">
        <f>SUM(S33:S40)</f>
        <v>18758864.390000001</v>
      </c>
      <c r="T32" s="45"/>
      <c r="U32" s="45">
        <f t="shared" si="6"/>
        <v>17669851.449999999</v>
      </c>
      <c r="V32" s="45"/>
      <c r="W32" s="45">
        <f>SUM(W33:W40)</f>
        <v>17669851.449999999</v>
      </c>
      <c r="X32" s="57"/>
      <c r="Y32" s="57"/>
    </row>
    <row r="33" spans="1:25" x14ac:dyDescent="0.25">
      <c r="A33" s="236"/>
      <c r="B33" s="39" t="s">
        <v>251</v>
      </c>
      <c r="C33" s="39"/>
      <c r="D33" s="39"/>
      <c r="E33" s="39"/>
      <c r="F33" s="39"/>
      <c r="G33" s="50">
        <f t="shared" si="2"/>
        <v>0</v>
      </c>
      <c r="H33" s="8"/>
      <c r="I33" s="8"/>
      <c r="J33" s="8"/>
      <c r="K33" s="8">
        <f>2233710.56+22429.48</f>
        <v>2256140.04</v>
      </c>
      <c r="L33" s="8">
        <f>4071657.31-K33-8410</f>
        <v>1807107.27</v>
      </c>
      <c r="M33" s="34"/>
      <c r="N33" s="59"/>
      <c r="O33" s="59"/>
      <c r="P33" s="8"/>
      <c r="Q33" s="8"/>
      <c r="R33" s="8"/>
      <c r="S33" s="8">
        <v>2528788.15</v>
      </c>
      <c r="T33" s="8"/>
      <c r="U33" s="8"/>
      <c r="V33" s="8"/>
      <c r="W33" s="8">
        <v>2460817.31</v>
      </c>
    </row>
    <row r="34" spans="1:25" x14ac:dyDescent="0.25">
      <c r="A34" s="236"/>
      <c r="B34" s="39" t="s">
        <v>160</v>
      </c>
      <c r="C34" s="39"/>
      <c r="D34" s="39"/>
      <c r="E34" s="39"/>
      <c r="F34" s="39"/>
      <c r="G34" s="50">
        <f t="shared" si="2"/>
        <v>0</v>
      </c>
      <c r="H34" s="8"/>
      <c r="I34" s="8"/>
      <c r="J34" s="8"/>
      <c r="K34" s="8">
        <f>1842902.01+22429.48</f>
        <v>1865331.49</v>
      </c>
      <c r="L34" s="8">
        <f>3358797.97-K34-8410</f>
        <v>1485056.4800000002</v>
      </c>
      <c r="M34" s="34"/>
      <c r="N34" s="59"/>
      <c r="O34" s="59"/>
      <c r="P34" s="8"/>
      <c r="Q34" s="8"/>
      <c r="R34" s="8"/>
      <c r="S34" s="8">
        <v>2042762.67</v>
      </c>
      <c r="T34" s="8"/>
      <c r="U34" s="8"/>
      <c r="V34" s="8"/>
      <c r="W34" s="8">
        <v>1926859.13</v>
      </c>
    </row>
    <row r="35" spans="1:25" x14ac:dyDescent="0.25">
      <c r="A35" s="236"/>
      <c r="B35" s="39" t="s">
        <v>252</v>
      </c>
      <c r="C35" s="39"/>
      <c r="D35" s="39"/>
      <c r="E35" s="39"/>
      <c r="F35" s="39"/>
      <c r="G35" s="50">
        <f t="shared" si="2"/>
        <v>0</v>
      </c>
      <c r="H35" s="8"/>
      <c r="I35" s="8"/>
      <c r="J35" s="8"/>
      <c r="K35" s="8">
        <f>3187486.81+22429.48</f>
        <v>3209916.29</v>
      </c>
      <c r="L35" s="8">
        <f>5809297.63-K35-8410</f>
        <v>2590971.34</v>
      </c>
      <c r="M35" s="34"/>
      <c r="N35" s="59"/>
      <c r="O35" s="59"/>
      <c r="P35" s="8"/>
      <c r="Q35" s="8"/>
      <c r="R35" s="8"/>
      <c r="S35" s="8">
        <v>3515395.62</v>
      </c>
      <c r="T35" s="8"/>
      <c r="U35" s="8"/>
      <c r="V35" s="8"/>
      <c r="W35" s="8">
        <v>3295174.96</v>
      </c>
    </row>
    <row r="36" spans="1:25" x14ac:dyDescent="0.25">
      <c r="A36" s="236"/>
      <c r="B36" s="39" t="s">
        <v>253</v>
      </c>
      <c r="C36" s="39"/>
      <c r="D36" s="39"/>
      <c r="E36" s="39"/>
      <c r="F36" s="39"/>
      <c r="G36" s="50">
        <f t="shared" si="2"/>
        <v>0</v>
      </c>
      <c r="H36" s="8"/>
      <c r="I36" s="8"/>
      <c r="J36" s="8"/>
      <c r="K36" s="8">
        <f>1264706.48+22429.48</f>
        <v>1287135.96</v>
      </c>
      <c r="L36" s="8">
        <f>2347428.49-K36-8411.55</f>
        <v>1051880.9800000002</v>
      </c>
      <c r="M36" s="34"/>
      <c r="N36" s="59"/>
      <c r="O36" s="59"/>
      <c r="P36" s="8"/>
      <c r="Q36" s="8"/>
      <c r="R36" s="8"/>
      <c r="S36" s="8">
        <v>1433238.58</v>
      </c>
      <c r="T36" s="8"/>
      <c r="U36" s="8"/>
      <c r="V36" s="8"/>
      <c r="W36" s="8">
        <v>1344250.21</v>
      </c>
    </row>
    <row r="37" spans="1:25" x14ac:dyDescent="0.25">
      <c r="A37" s="236"/>
      <c r="B37" s="39" t="s">
        <v>254</v>
      </c>
      <c r="C37" s="39"/>
      <c r="D37" s="39"/>
      <c r="E37" s="39"/>
      <c r="F37" s="39"/>
      <c r="G37" s="50">
        <f t="shared" si="2"/>
        <v>0</v>
      </c>
      <c r="H37" s="8"/>
      <c r="I37" s="8"/>
      <c r="J37" s="8"/>
      <c r="K37" s="8">
        <f>1602908.89+22429.48</f>
        <v>1625338.3699999999</v>
      </c>
      <c r="L37" s="8">
        <f>2974717.24-K37-8411.55</f>
        <v>1340967.3200000003</v>
      </c>
      <c r="M37" s="34"/>
      <c r="N37" s="59"/>
      <c r="O37" s="59"/>
      <c r="P37" s="8"/>
      <c r="Q37" s="8"/>
      <c r="R37" s="8"/>
      <c r="S37" s="8">
        <v>1754463.31</v>
      </c>
      <c r="T37" s="8"/>
      <c r="U37" s="8"/>
      <c r="V37" s="8"/>
      <c r="W37" s="8">
        <v>1646856.31</v>
      </c>
    </row>
    <row r="38" spans="1:25" x14ac:dyDescent="0.25">
      <c r="A38" s="236"/>
      <c r="B38" s="39" t="s">
        <v>255</v>
      </c>
      <c r="C38" s="39"/>
      <c r="D38" s="39"/>
      <c r="E38" s="39"/>
      <c r="F38" s="39"/>
      <c r="G38" s="50">
        <f t="shared" si="2"/>
        <v>0</v>
      </c>
      <c r="H38" s="8"/>
      <c r="I38" s="8"/>
      <c r="J38" s="8"/>
      <c r="K38" s="8">
        <f>1171866.61+22429.48</f>
        <v>1194296.0900000001</v>
      </c>
      <c r="L38" s="8">
        <f>2174922.32-K38-8411.55</f>
        <v>972214.6799999997</v>
      </c>
      <c r="M38" s="34"/>
      <c r="N38" s="59"/>
      <c r="O38" s="59"/>
      <c r="P38" s="8"/>
      <c r="Q38" s="8"/>
      <c r="R38" s="8"/>
      <c r="S38" s="8">
        <v>1325452.21</v>
      </c>
      <c r="T38" s="8"/>
      <c r="U38" s="8"/>
      <c r="V38" s="8"/>
      <c r="W38" s="8">
        <v>1217415.31</v>
      </c>
    </row>
    <row r="39" spans="1:25" x14ac:dyDescent="0.25">
      <c r="A39" s="236"/>
      <c r="B39" s="39" t="s">
        <v>159</v>
      </c>
      <c r="C39" s="39"/>
      <c r="D39" s="39"/>
      <c r="E39" s="39"/>
      <c r="F39" s="39"/>
      <c r="G39" s="50">
        <f t="shared" si="2"/>
        <v>0</v>
      </c>
      <c r="H39" s="8"/>
      <c r="I39" s="8"/>
      <c r="J39" s="8"/>
      <c r="K39" s="8">
        <f>1226812.66+22429.48</f>
        <v>1249242.1399999999</v>
      </c>
      <c r="L39" s="8">
        <f>2277554.94-K39-8411.55</f>
        <v>1019901.25</v>
      </c>
      <c r="M39" s="34"/>
      <c r="N39" s="59"/>
      <c r="O39" s="59"/>
      <c r="P39" s="8"/>
      <c r="Q39" s="8"/>
      <c r="R39" s="8"/>
      <c r="S39" s="8">
        <v>1390550.91</v>
      </c>
      <c r="T39" s="8"/>
      <c r="U39" s="8"/>
      <c r="V39" s="8"/>
      <c r="W39" s="8">
        <v>1304302.2</v>
      </c>
    </row>
    <row r="40" spans="1:25" x14ac:dyDescent="0.25">
      <c r="A40" s="236"/>
      <c r="B40" s="39" t="s">
        <v>256</v>
      </c>
      <c r="C40" s="39"/>
      <c r="D40" s="39"/>
      <c r="E40" s="39"/>
      <c r="F40" s="39"/>
      <c r="G40" s="50">
        <f t="shared" si="2"/>
        <v>0</v>
      </c>
      <c r="H40" s="8"/>
      <c r="I40" s="8"/>
      <c r="J40" s="8"/>
      <c r="K40" s="8">
        <f>4207162.16+22429.48</f>
        <v>4229591.6400000006</v>
      </c>
      <c r="L40" s="8">
        <f>7810493.52-K40-8411.55</f>
        <v>3572490.3299999991</v>
      </c>
      <c r="M40" s="34"/>
      <c r="N40" s="59"/>
      <c r="O40" s="59"/>
      <c r="P40" s="8"/>
      <c r="Q40" s="8"/>
      <c r="R40" s="8"/>
      <c r="S40" s="8">
        <v>4768212.9400000004</v>
      </c>
      <c r="T40" s="8"/>
      <c r="U40" s="8"/>
      <c r="V40" s="8"/>
      <c r="W40" s="8">
        <v>4474176.0199999996</v>
      </c>
    </row>
    <row r="41" spans="1:25" s="58" customFormat="1" ht="30" x14ac:dyDescent="0.25">
      <c r="A41" s="235" t="s">
        <v>7</v>
      </c>
      <c r="B41" s="46" t="s">
        <v>13</v>
      </c>
      <c r="C41" s="46"/>
      <c r="D41" s="46"/>
      <c r="E41" s="46"/>
      <c r="F41" s="46"/>
      <c r="G41" s="50">
        <f t="shared" si="2"/>
        <v>23481751.27</v>
      </c>
      <c r="H41" s="16"/>
      <c r="I41" s="45">
        <f t="shared" si="4"/>
        <v>23481751.27</v>
      </c>
      <c r="J41" s="16"/>
      <c r="K41" s="16">
        <f>SUM(K42:K49)</f>
        <v>23481751.27</v>
      </c>
      <c r="L41" s="16">
        <f>SUM(L42:L49)</f>
        <v>16530394.93</v>
      </c>
      <c r="M41" s="60" t="s">
        <v>382</v>
      </c>
      <c r="N41" s="59"/>
      <c r="O41" s="59"/>
      <c r="P41" s="16"/>
      <c r="Q41" s="45">
        <f t="shared" si="5"/>
        <v>22143898.960000001</v>
      </c>
      <c r="R41" s="16"/>
      <c r="S41" s="45">
        <f>SUM(S42:S49)</f>
        <v>22143898.960000001</v>
      </c>
      <c r="T41" s="16"/>
      <c r="U41" s="45">
        <f t="shared" si="6"/>
        <v>21682111.900000002</v>
      </c>
      <c r="V41" s="16"/>
      <c r="W41" s="45">
        <f>SUM(W42:W49)</f>
        <v>21682111.900000002</v>
      </c>
      <c r="X41" s="57"/>
      <c r="Y41" s="57"/>
    </row>
    <row r="42" spans="1:25" x14ac:dyDescent="0.25">
      <c r="A42" s="236"/>
      <c r="B42" s="39" t="s">
        <v>251</v>
      </c>
      <c r="C42" s="39"/>
      <c r="D42" s="39"/>
      <c r="E42" s="39"/>
      <c r="F42" s="39"/>
      <c r="G42" s="50">
        <f t="shared" si="2"/>
        <v>0</v>
      </c>
      <c r="H42" s="61"/>
      <c r="I42" s="8"/>
      <c r="J42" s="61"/>
      <c r="K42" s="61">
        <f>4404960+586851.59+22429.25</f>
        <v>5014240.84</v>
      </c>
      <c r="L42" s="61">
        <f>1087426.9-586851.59</f>
        <v>500575.30999999994</v>
      </c>
      <c r="M42" s="62" t="s">
        <v>377</v>
      </c>
      <c r="N42" s="59"/>
      <c r="O42" s="59"/>
      <c r="P42" s="61"/>
      <c r="Q42" s="8"/>
      <c r="R42" s="61"/>
      <c r="S42" s="8">
        <f>667069.75+4404960</f>
        <v>5072029.75</v>
      </c>
      <c r="T42" s="61"/>
      <c r="U42" s="8"/>
      <c r="V42" s="61"/>
      <c r="W42" s="8">
        <f>625089.41+4404960</f>
        <v>5030049.41</v>
      </c>
    </row>
    <row r="43" spans="1:25" x14ac:dyDescent="0.25">
      <c r="A43" s="236"/>
      <c r="B43" s="39" t="s">
        <v>160</v>
      </c>
      <c r="C43" s="39"/>
      <c r="D43" s="39"/>
      <c r="E43" s="39"/>
      <c r="F43" s="39"/>
      <c r="G43" s="50">
        <f t="shared" si="2"/>
        <v>0</v>
      </c>
      <c r="H43" s="61"/>
      <c r="I43" s="8"/>
      <c r="J43" s="61"/>
      <c r="K43" s="61">
        <f>3880560+578634.94+22429.25</f>
        <v>4481624.1899999995</v>
      </c>
      <c r="L43" s="61">
        <f>1072218.95-578634.94</f>
        <v>493584.01</v>
      </c>
      <c r="M43" s="62" t="s">
        <v>378</v>
      </c>
      <c r="N43" s="59"/>
      <c r="O43" s="59"/>
      <c r="P43" s="61"/>
      <c r="Q43" s="8"/>
      <c r="R43" s="61"/>
      <c r="S43" s="8">
        <f>654862.21+4918872</f>
        <v>5573734.21</v>
      </c>
      <c r="T43" s="61"/>
      <c r="U43" s="8"/>
      <c r="V43" s="61"/>
      <c r="W43" s="8">
        <f>614031.03+4918872</f>
        <v>5532903.0300000003</v>
      </c>
    </row>
    <row r="44" spans="1:25" x14ac:dyDescent="0.25">
      <c r="A44" s="236"/>
      <c r="B44" s="39" t="s">
        <v>252</v>
      </c>
      <c r="C44" s="39"/>
      <c r="D44" s="39"/>
      <c r="E44" s="39"/>
      <c r="F44" s="39"/>
      <c r="G44" s="50">
        <f t="shared" si="2"/>
        <v>0</v>
      </c>
      <c r="H44" s="61"/>
      <c r="I44" s="8"/>
      <c r="J44" s="61"/>
      <c r="K44" s="61">
        <f>4803504+3374990+660436.28+22429.25</f>
        <v>8861359.5299999993</v>
      </c>
      <c r="L44" s="61">
        <f>1223701.31-660436.28+10124970</f>
        <v>10688235.029999999</v>
      </c>
      <c r="M44" s="62" t="s">
        <v>413</v>
      </c>
      <c r="N44" s="59"/>
      <c r="O44" s="59"/>
      <c r="P44" s="61"/>
      <c r="Q44" s="8"/>
      <c r="R44" s="61"/>
      <c r="S44" s="8">
        <f>747142.95+4803504</f>
        <v>5550646.9500000002</v>
      </c>
      <c r="T44" s="61"/>
      <c r="U44" s="8"/>
      <c r="V44" s="61"/>
      <c r="W44" s="8">
        <f>700946.01+4803504</f>
        <v>5504450.0099999998</v>
      </c>
    </row>
    <row r="45" spans="1:25" x14ac:dyDescent="0.25">
      <c r="A45" s="236"/>
      <c r="B45" s="39" t="s">
        <v>253</v>
      </c>
      <c r="C45" s="39"/>
      <c r="D45" s="39"/>
      <c r="E45" s="39"/>
      <c r="F45" s="39"/>
      <c r="G45" s="50">
        <f t="shared" si="2"/>
        <v>0</v>
      </c>
      <c r="H45" s="61"/>
      <c r="I45" s="8"/>
      <c r="J45" s="61"/>
      <c r="K45" s="61">
        <f>1212494.83+22429.25</f>
        <v>1234924.08</v>
      </c>
      <c r="L45" s="61">
        <f>2412624.33-K45</f>
        <v>1177700.25</v>
      </c>
      <c r="M45" s="62"/>
      <c r="N45" s="59"/>
      <c r="O45" s="59"/>
      <c r="P45" s="61"/>
      <c r="Q45" s="8"/>
      <c r="R45" s="61"/>
      <c r="S45" s="8">
        <v>1443455.35</v>
      </c>
      <c r="T45" s="61"/>
      <c r="U45" s="8"/>
      <c r="V45" s="61"/>
      <c r="W45" s="8">
        <v>1381779.99</v>
      </c>
    </row>
    <row r="46" spans="1:25" x14ac:dyDescent="0.25">
      <c r="A46" s="236"/>
      <c r="B46" s="39" t="s">
        <v>254</v>
      </c>
      <c r="C46" s="39"/>
      <c r="D46" s="39"/>
      <c r="E46" s="39"/>
      <c r="F46" s="39"/>
      <c r="G46" s="50">
        <f t="shared" si="2"/>
        <v>0</v>
      </c>
      <c r="H46" s="61"/>
      <c r="I46" s="8"/>
      <c r="J46" s="61"/>
      <c r="K46" s="61">
        <f>803484.59+22429.25</f>
        <v>825913.84</v>
      </c>
      <c r="L46" s="61">
        <f>1598876.41-K46</f>
        <v>772962.57</v>
      </c>
      <c r="M46" s="62"/>
      <c r="N46" s="59"/>
      <c r="O46" s="59"/>
      <c r="P46" s="61"/>
      <c r="Q46" s="8"/>
      <c r="R46" s="61"/>
      <c r="S46" s="8">
        <v>872496.5</v>
      </c>
      <c r="T46" s="61"/>
      <c r="U46" s="8"/>
      <c r="V46" s="61"/>
      <c r="W46" s="8">
        <v>818624.64</v>
      </c>
    </row>
    <row r="47" spans="1:25" x14ac:dyDescent="0.25">
      <c r="A47" s="236"/>
      <c r="B47" s="39" t="s">
        <v>255</v>
      </c>
      <c r="C47" s="39"/>
      <c r="D47" s="39"/>
      <c r="E47" s="39"/>
      <c r="F47" s="39"/>
      <c r="G47" s="50">
        <f t="shared" si="2"/>
        <v>0</v>
      </c>
      <c r="H47" s="61"/>
      <c r="I47" s="8"/>
      <c r="J47" s="61"/>
      <c r="K47" s="61">
        <f>876665.34+22429.25</f>
        <v>899094.59</v>
      </c>
      <c r="L47" s="61">
        <f>1743959.18-K47</f>
        <v>844864.59</v>
      </c>
      <c r="M47" s="62"/>
      <c r="N47" s="59"/>
      <c r="O47" s="59"/>
      <c r="P47" s="61"/>
      <c r="Q47" s="8"/>
      <c r="R47" s="61"/>
      <c r="S47" s="8">
        <v>1064600.3600000001</v>
      </c>
      <c r="T47" s="61"/>
      <c r="U47" s="8"/>
      <c r="V47" s="61"/>
      <c r="W47" s="8">
        <v>998856.81</v>
      </c>
    </row>
    <row r="48" spans="1:25" x14ac:dyDescent="0.25">
      <c r="A48" s="236"/>
      <c r="B48" s="39" t="s">
        <v>159</v>
      </c>
      <c r="C48" s="39"/>
      <c r="D48" s="39"/>
      <c r="E48" s="39"/>
      <c r="F48" s="39"/>
      <c r="G48" s="50">
        <f t="shared" si="2"/>
        <v>0</v>
      </c>
      <c r="H48" s="61"/>
      <c r="I48" s="8"/>
      <c r="J48" s="61"/>
      <c r="K48" s="61">
        <f>869146.77+22429.25</f>
        <v>891576.02</v>
      </c>
      <c r="L48" s="61">
        <f>1729250.46-K48</f>
        <v>837674.44</v>
      </c>
      <c r="M48" s="62"/>
      <c r="N48" s="59"/>
      <c r="O48" s="59"/>
      <c r="P48" s="61"/>
      <c r="Q48" s="8"/>
      <c r="R48" s="61"/>
      <c r="S48" s="8">
        <v>1055679.1299999999</v>
      </c>
      <c r="T48" s="61"/>
      <c r="U48" s="8"/>
      <c r="V48" s="61"/>
      <c r="W48" s="8">
        <v>990434.75</v>
      </c>
    </row>
    <row r="49" spans="1:23" x14ac:dyDescent="0.25">
      <c r="A49" s="236"/>
      <c r="B49" s="39" t="s">
        <v>256</v>
      </c>
      <c r="C49" s="39"/>
      <c r="D49" s="39"/>
      <c r="E49" s="39"/>
      <c r="F49" s="39"/>
      <c r="G49" s="50">
        <f t="shared" si="2"/>
        <v>0</v>
      </c>
      <c r="H49" s="61"/>
      <c r="I49" s="8"/>
      <c r="J49" s="61"/>
      <c r="K49" s="61">
        <f>1250588.93+22429.25</f>
        <v>1273018.18</v>
      </c>
      <c r="L49" s="61">
        <f>2487816.91-K49</f>
        <v>1214798.7300000002</v>
      </c>
      <c r="M49" s="62"/>
      <c r="N49" s="59"/>
      <c r="O49" s="59"/>
      <c r="P49" s="61"/>
      <c r="Q49" s="8"/>
      <c r="R49" s="61"/>
      <c r="S49" s="8">
        <v>1511256.71</v>
      </c>
      <c r="T49" s="61"/>
      <c r="U49" s="8"/>
      <c r="V49" s="61"/>
      <c r="W49" s="8">
        <v>1425013.26</v>
      </c>
    </row>
    <row r="50" spans="1:23" ht="30" x14ac:dyDescent="0.25">
      <c r="A50" s="236" t="s">
        <v>12</v>
      </c>
      <c r="B50" s="39" t="s">
        <v>3</v>
      </c>
      <c r="C50" s="39"/>
      <c r="D50" s="39"/>
      <c r="E50" s="39"/>
      <c r="F50" s="39"/>
      <c r="G50" s="50">
        <f t="shared" si="2"/>
        <v>0</v>
      </c>
      <c r="H50" s="8"/>
      <c r="I50" s="8">
        <f t="shared" si="4"/>
        <v>0</v>
      </c>
      <c r="J50" s="8"/>
      <c r="K50" s="8"/>
      <c r="L50" s="8"/>
      <c r="M50" s="62"/>
      <c r="N50" s="59"/>
      <c r="O50" s="59"/>
      <c r="P50" s="8"/>
      <c r="Q50" s="8">
        <f t="shared" si="5"/>
        <v>0</v>
      </c>
      <c r="R50" s="8"/>
      <c r="S50" s="8"/>
      <c r="T50" s="8"/>
      <c r="U50" s="8">
        <f t="shared" si="6"/>
        <v>0</v>
      </c>
      <c r="V50" s="8"/>
      <c r="W50" s="8"/>
    </row>
    <row r="51" spans="1:23" ht="30" x14ac:dyDescent="0.25">
      <c r="A51" s="234" t="s">
        <v>203</v>
      </c>
      <c r="B51" s="13" t="s">
        <v>204</v>
      </c>
      <c r="C51" s="13">
        <v>0</v>
      </c>
      <c r="D51" s="13">
        <v>112500</v>
      </c>
      <c r="E51" s="13">
        <v>0</v>
      </c>
      <c r="F51" s="13">
        <v>0</v>
      </c>
      <c r="G51" s="50">
        <f t="shared" si="2"/>
        <v>0</v>
      </c>
      <c r="H51" s="8"/>
      <c r="I51" s="8"/>
      <c r="J51" s="63"/>
      <c r="K51" s="8"/>
      <c r="L51" s="63">
        <v>216000</v>
      </c>
      <c r="M51" s="64" t="s">
        <v>205</v>
      </c>
      <c r="N51" s="59"/>
      <c r="O51" s="59"/>
      <c r="P51" s="8"/>
      <c r="Q51" s="8"/>
      <c r="R51" s="63"/>
      <c r="S51" s="8"/>
      <c r="T51" s="8"/>
      <c r="U51" s="8"/>
      <c r="V51" s="63"/>
      <c r="W51" s="8"/>
    </row>
    <row r="52" spans="1:23" ht="30" x14ac:dyDescent="0.25">
      <c r="A52" s="234" t="s">
        <v>206</v>
      </c>
      <c r="B52" s="13" t="s">
        <v>207</v>
      </c>
      <c r="C52" s="13">
        <v>0</v>
      </c>
      <c r="D52" s="13">
        <v>0</v>
      </c>
      <c r="E52" s="13">
        <v>0</v>
      </c>
      <c r="F52" s="13">
        <v>0</v>
      </c>
      <c r="G52" s="50">
        <f t="shared" si="2"/>
        <v>0</v>
      </c>
      <c r="H52" s="8"/>
      <c r="I52" s="8"/>
      <c r="J52" s="63"/>
      <c r="K52" s="8"/>
      <c r="L52" s="63"/>
      <c r="M52" s="62"/>
      <c r="N52" s="59"/>
      <c r="O52" s="59"/>
      <c r="P52" s="8"/>
      <c r="Q52" s="8"/>
      <c r="R52" s="63"/>
      <c r="S52" s="8"/>
      <c r="T52" s="8"/>
      <c r="U52" s="8"/>
      <c r="V52" s="63"/>
      <c r="W52" s="8"/>
    </row>
    <row r="53" spans="1:23" x14ac:dyDescent="0.25">
      <c r="A53" s="234" t="s">
        <v>208</v>
      </c>
      <c r="B53" s="13" t="s">
        <v>209</v>
      </c>
      <c r="C53" s="13">
        <v>0</v>
      </c>
      <c r="D53" s="13">
        <v>0</v>
      </c>
      <c r="E53" s="13">
        <v>0</v>
      </c>
      <c r="F53" s="13">
        <v>0</v>
      </c>
      <c r="G53" s="50">
        <f t="shared" si="2"/>
        <v>0</v>
      </c>
      <c r="H53" s="8"/>
      <c r="I53" s="8"/>
      <c r="J53" s="63"/>
      <c r="K53" s="8"/>
      <c r="L53" s="63"/>
      <c r="M53" s="62"/>
      <c r="N53" s="59"/>
      <c r="O53" s="59"/>
      <c r="P53" s="8"/>
      <c r="Q53" s="8"/>
      <c r="R53" s="63"/>
      <c r="S53" s="8"/>
      <c r="T53" s="8"/>
      <c r="U53" s="8"/>
      <c r="V53" s="63"/>
      <c r="W53" s="8"/>
    </row>
    <row r="54" spans="1:23" ht="30" x14ac:dyDescent="0.25">
      <c r="A54" s="234" t="s">
        <v>210</v>
      </c>
      <c r="B54" s="13" t="s">
        <v>211</v>
      </c>
      <c r="C54" s="13">
        <v>0</v>
      </c>
      <c r="D54" s="13">
        <v>0</v>
      </c>
      <c r="E54" s="13">
        <v>0</v>
      </c>
      <c r="F54" s="13">
        <v>0</v>
      </c>
      <c r="G54" s="50">
        <f t="shared" si="2"/>
        <v>0</v>
      </c>
      <c r="H54" s="8"/>
      <c r="I54" s="8"/>
      <c r="J54" s="63"/>
      <c r="K54" s="8"/>
      <c r="L54" s="63"/>
      <c r="M54" s="62"/>
      <c r="N54" s="59"/>
      <c r="O54" s="59"/>
      <c r="P54" s="8"/>
      <c r="Q54" s="8"/>
      <c r="R54" s="63"/>
      <c r="S54" s="8"/>
      <c r="T54" s="8"/>
      <c r="U54" s="8"/>
      <c r="V54" s="63"/>
      <c r="W54" s="8"/>
    </row>
    <row r="55" spans="1:23" ht="30" x14ac:dyDescent="0.25">
      <c r="A55" s="234" t="s">
        <v>212</v>
      </c>
      <c r="B55" s="13" t="s">
        <v>213</v>
      </c>
      <c r="C55" s="13">
        <v>0</v>
      </c>
      <c r="D55" s="13">
        <v>109897.42</v>
      </c>
      <c r="E55" s="13">
        <v>0</v>
      </c>
      <c r="F55" s="13">
        <v>109897.42</v>
      </c>
      <c r="G55" s="50">
        <f t="shared" si="2"/>
        <v>0</v>
      </c>
      <c r="H55" s="8"/>
      <c r="I55" s="8"/>
      <c r="J55" s="63"/>
      <c r="K55" s="8"/>
      <c r="L55" s="63">
        <f>184446+1763078</f>
        <v>1947524</v>
      </c>
      <c r="M55" s="64" t="s">
        <v>214</v>
      </c>
      <c r="N55" s="59"/>
      <c r="O55" s="59"/>
      <c r="P55" s="8"/>
      <c r="Q55" s="8"/>
      <c r="R55" s="63"/>
      <c r="S55" s="8"/>
      <c r="T55" s="8"/>
      <c r="U55" s="8"/>
      <c r="V55" s="63"/>
      <c r="W55" s="8"/>
    </row>
    <row r="56" spans="1:23" ht="42.75" x14ac:dyDescent="0.25">
      <c r="A56" s="234">
        <v>2</v>
      </c>
      <c r="B56" s="50" t="s">
        <v>215</v>
      </c>
      <c r="C56" s="50">
        <v>0</v>
      </c>
      <c r="D56" s="50">
        <v>0</v>
      </c>
      <c r="E56" s="50">
        <v>0</v>
      </c>
      <c r="F56" s="50">
        <v>0</v>
      </c>
      <c r="G56" s="50">
        <f t="shared" si="2"/>
        <v>0</v>
      </c>
      <c r="H56" s="54">
        <f>H57</f>
        <v>0</v>
      </c>
      <c r="I56" s="6">
        <f>I57</f>
        <v>0</v>
      </c>
      <c r="J56" s="50"/>
      <c r="K56" s="54">
        <f>K57</f>
        <v>0</v>
      </c>
      <c r="L56" s="51">
        <f>L57</f>
        <v>167850</v>
      </c>
      <c r="M56" s="54"/>
      <c r="N56" s="59"/>
      <c r="O56" s="59"/>
      <c r="P56" s="54"/>
      <c r="Q56" s="6"/>
      <c r="R56" s="50"/>
      <c r="S56" s="54"/>
      <c r="T56" s="54"/>
      <c r="U56" s="6"/>
      <c r="V56" s="50"/>
      <c r="W56" s="54"/>
    </row>
    <row r="57" spans="1:23" ht="30" x14ac:dyDescent="0.25">
      <c r="A57" s="233" t="s">
        <v>216</v>
      </c>
      <c r="B57" s="37" t="s">
        <v>217</v>
      </c>
      <c r="C57" s="37">
        <v>0</v>
      </c>
      <c r="D57" s="37">
        <v>0</v>
      </c>
      <c r="E57" s="37">
        <v>0</v>
      </c>
      <c r="F57" s="37">
        <v>0</v>
      </c>
      <c r="G57" s="50">
        <f t="shared" si="2"/>
        <v>0</v>
      </c>
      <c r="H57" s="8"/>
      <c r="I57" s="8">
        <f t="shared" ref="I57:I61" si="11">J57+K57</f>
        <v>0</v>
      </c>
      <c r="J57" s="8"/>
      <c r="K57" s="8"/>
      <c r="L57" s="8">
        <v>167850</v>
      </c>
      <c r="M57" s="64" t="s">
        <v>362</v>
      </c>
      <c r="N57" s="59"/>
      <c r="O57" s="59"/>
      <c r="P57" s="8"/>
      <c r="Q57" s="8">
        <f t="shared" ref="Q57:Q61" si="12">R57+S57</f>
        <v>0</v>
      </c>
      <c r="R57" s="8"/>
      <c r="S57" s="8"/>
      <c r="T57" s="8"/>
      <c r="U57" s="8">
        <f t="shared" ref="U57:U61" si="13">V57+W57</f>
        <v>0</v>
      </c>
      <c r="V57" s="8"/>
      <c r="W57" s="8"/>
    </row>
    <row r="58" spans="1:23" ht="28.5" x14ac:dyDescent="0.25">
      <c r="A58" s="234">
        <v>3</v>
      </c>
      <c r="B58" s="50" t="s">
        <v>218</v>
      </c>
      <c r="C58" s="50">
        <f>C59+C60+C61</f>
        <v>1916374.55</v>
      </c>
      <c r="D58" s="50">
        <f t="shared" ref="D58:F58" si="14">D59+D60+D61</f>
        <v>8624307.4700000007</v>
      </c>
      <c r="E58" s="50">
        <f t="shared" si="14"/>
        <v>1355430.5</v>
      </c>
      <c r="F58" s="50">
        <f t="shared" si="14"/>
        <v>2494466.66</v>
      </c>
      <c r="G58" s="50">
        <f t="shared" si="2"/>
        <v>0</v>
      </c>
      <c r="H58" s="54">
        <f>H59+H60+H61</f>
        <v>0</v>
      </c>
      <c r="I58" s="6">
        <f>I59+I60+I61</f>
        <v>0</v>
      </c>
      <c r="J58" s="50"/>
      <c r="K58" s="54">
        <f>K59+K60+K61</f>
        <v>0</v>
      </c>
      <c r="L58" s="51">
        <f>L59+L60+L61</f>
        <v>42641335.009999998</v>
      </c>
      <c r="M58" s="54"/>
      <c r="N58" s="59"/>
      <c r="O58" s="59"/>
      <c r="P58" s="54"/>
      <c r="Q58" s="6"/>
      <c r="R58" s="50"/>
      <c r="S58" s="54"/>
      <c r="T58" s="54"/>
      <c r="U58" s="6"/>
      <c r="V58" s="50"/>
      <c r="W58" s="54"/>
    </row>
    <row r="59" spans="1:23" ht="165" x14ac:dyDescent="0.25">
      <c r="A59" s="234" t="s">
        <v>219</v>
      </c>
      <c r="B59" s="13" t="s">
        <v>220</v>
      </c>
      <c r="C59" s="13">
        <f>200000+1762974.55-46600</f>
        <v>1916374.55</v>
      </c>
      <c r="D59" s="13">
        <v>8624307.4700000007</v>
      </c>
      <c r="E59" s="13">
        <f>60000+1342030.5-46600</f>
        <v>1355430.5</v>
      </c>
      <c r="F59" s="13">
        <v>2494466.66</v>
      </c>
      <c r="G59" s="50">
        <f t="shared" si="2"/>
        <v>0</v>
      </c>
      <c r="H59" s="8"/>
      <c r="I59" s="8">
        <f t="shared" si="11"/>
        <v>0</v>
      </c>
      <c r="J59" s="8"/>
      <c r="K59" s="8"/>
      <c r="L59" s="8">
        <v>42641335.009999998</v>
      </c>
      <c r="M59" s="65" t="s">
        <v>379</v>
      </c>
      <c r="N59" s="59"/>
      <c r="O59" s="59"/>
      <c r="P59" s="8"/>
      <c r="Q59" s="8">
        <f t="shared" si="12"/>
        <v>0</v>
      </c>
      <c r="R59" s="8"/>
      <c r="S59" s="8"/>
      <c r="T59" s="8"/>
      <c r="U59" s="8">
        <f t="shared" si="13"/>
        <v>0</v>
      </c>
      <c r="V59" s="8"/>
      <c r="W59" s="8"/>
    </row>
    <row r="60" spans="1:23" x14ac:dyDescent="0.25">
      <c r="A60" s="234" t="s">
        <v>221</v>
      </c>
      <c r="B60" s="13" t="s">
        <v>209</v>
      </c>
      <c r="C60" s="13">
        <v>0</v>
      </c>
      <c r="D60" s="13">
        <v>0</v>
      </c>
      <c r="E60" s="13">
        <v>0</v>
      </c>
      <c r="F60" s="13">
        <v>0</v>
      </c>
      <c r="G60" s="50">
        <f t="shared" si="2"/>
        <v>0</v>
      </c>
      <c r="H60" s="8"/>
      <c r="I60" s="8">
        <f t="shared" si="11"/>
        <v>0</v>
      </c>
      <c r="J60" s="8"/>
      <c r="K60" s="8"/>
      <c r="L60" s="8"/>
      <c r="M60" s="34"/>
      <c r="N60" s="59"/>
      <c r="O60" s="59"/>
      <c r="P60" s="8"/>
      <c r="Q60" s="8">
        <f t="shared" si="12"/>
        <v>0</v>
      </c>
      <c r="R60" s="8"/>
      <c r="S60" s="8"/>
      <c r="T60" s="8"/>
      <c r="U60" s="8">
        <f t="shared" si="13"/>
        <v>0</v>
      </c>
      <c r="V60" s="8"/>
      <c r="W60" s="8"/>
    </row>
    <row r="61" spans="1:23" ht="45" x14ac:dyDescent="0.25">
      <c r="A61" s="234" t="s">
        <v>222</v>
      </c>
      <c r="B61" s="13" t="s">
        <v>223</v>
      </c>
      <c r="C61" s="13">
        <v>0</v>
      </c>
      <c r="D61" s="13">
        <v>0</v>
      </c>
      <c r="E61" s="13">
        <v>0</v>
      </c>
      <c r="F61" s="13">
        <v>0</v>
      </c>
      <c r="G61" s="50">
        <f t="shared" si="2"/>
        <v>0</v>
      </c>
      <c r="H61" s="8"/>
      <c r="I61" s="8">
        <f t="shared" si="11"/>
        <v>0</v>
      </c>
      <c r="J61" s="8"/>
      <c r="K61" s="8"/>
      <c r="L61" s="8"/>
      <c r="M61" s="13"/>
      <c r="N61" s="59"/>
      <c r="O61" s="59"/>
      <c r="P61" s="8"/>
      <c r="Q61" s="8">
        <f t="shared" si="12"/>
        <v>0</v>
      </c>
      <c r="R61" s="8"/>
      <c r="S61" s="8"/>
      <c r="T61" s="8"/>
      <c r="U61" s="8">
        <f t="shared" si="13"/>
        <v>0</v>
      </c>
      <c r="V61" s="8"/>
      <c r="W61" s="8"/>
    </row>
    <row r="62" spans="1:23" x14ac:dyDescent="0.25">
      <c r="A62" s="234"/>
      <c r="B62" s="13"/>
      <c r="C62" s="13"/>
      <c r="D62" s="13"/>
      <c r="E62" s="13"/>
      <c r="F62" s="13"/>
      <c r="G62" s="50"/>
      <c r="H62" s="8"/>
      <c r="I62" s="8"/>
      <c r="J62" s="8"/>
      <c r="K62" s="8"/>
      <c r="L62" s="8"/>
      <c r="M62" s="13"/>
      <c r="N62" s="59"/>
      <c r="O62" s="59"/>
      <c r="P62" s="8"/>
      <c r="Q62" s="8"/>
      <c r="R62" s="8"/>
      <c r="S62" s="8"/>
      <c r="T62" s="8"/>
      <c r="U62" s="8"/>
      <c r="V62" s="8"/>
      <c r="W62" s="8"/>
    </row>
    <row r="63" spans="1:23" x14ac:dyDescent="0.25">
      <c r="A63" s="237"/>
      <c r="B63" s="15" t="s">
        <v>14</v>
      </c>
      <c r="C63" s="15">
        <f>C12+C56+C58</f>
        <v>493822274.55000001</v>
      </c>
      <c r="D63" s="15">
        <f t="shared" ref="D63:F63" si="15">D12+D56+D58</f>
        <v>112357503.56</v>
      </c>
      <c r="E63" s="15">
        <f t="shared" si="15"/>
        <v>341118252.25</v>
      </c>
      <c r="F63" s="15">
        <f t="shared" si="15"/>
        <v>70982840.269999996</v>
      </c>
      <c r="G63" s="50">
        <f t="shared" si="2"/>
        <v>630392267.58000004</v>
      </c>
      <c r="H63" s="16">
        <f>H12+H56+H58</f>
        <v>540839500</v>
      </c>
      <c r="I63" s="16">
        <f>I12+I56+I58</f>
        <v>89552767.579999998</v>
      </c>
      <c r="J63" s="16">
        <f>SUM(J15:J57)</f>
        <v>0</v>
      </c>
      <c r="K63" s="16">
        <f>K12+K56+K58</f>
        <v>89552767.579999998</v>
      </c>
      <c r="L63" s="16">
        <f>L12+L56+L58</f>
        <v>77528828.789999992</v>
      </c>
      <c r="M63" s="16"/>
      <c r="N63" s="18">
        <v>4000000</v>
      </c>
      <c r="O63" s="18">
        <v>0</v>
      </c>
      <c r="P63" s="16">
        <f>P12+P56+P58</f>
        <v>536870500</v>
      </c>
      <c r="Q63" s="16">
        <f>Q12+Q56+Q58</f>
        <v>87229600</v>
      </c>
      <c r="R63" s="16">
        <f t="shared" ref="R63:W63" si="16">R12+R56+R58</f>
        <v>0</v>
      </c>
      <c r="S63" s="16">
        <f t="shared" si="16"/>
        <v>87229600</v>
      </c>
      <c r="T63" s="16">
        <f t="shared" si="16"/>
        <v>536870500</v>
      </c>
      <c r="U63" s="16">
        <f t="shared" si="16"/>
        <v>85678800.000000015</v>
      </c>
      <c r="V63" s="16">
        <f t="shared" si="16"/>
        <v>0</v>
      </c>
      <c r="W63" s="16">
        <f t="shared" si="16"/>
        <v>85678800.000000015</v>
      </c>
    </row>
  </sheetData>
  <customSheetViews>
    <customSheetView guid="{F55D2626-B25D-4865-88D7-A4040A583D45}" scale="90" showPageBreaks="1" fitToPage="1" topLeftCell="C1">
      <pane ySplit="11" topLeftCell="A60" activePane="bottomLeft" state="frozen"/>
      <selection pane="bottomLeft" activeCell="N63" sqref="N63:O63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C1">
      <pane ySplit="11" topLeftCell="A60" activePane="bottomLeft" state="frozen"/>
      <selection pane="bottomLeft" activeCell="N63" sqref="N63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H59" sqref="H59"/>
      <pageMargins left="0.31496062992125984" right="0.31496062992125984" top="0.35433070866141736" bottom="0.35433070866141736" header="0.31496062992125984" footer="0.31496062992125984"/>
      <pageSetup paperSize="9" scale="32" fitToHeight="2" orientation="landscape" verticalDpi="180" r:id="rId3"/>
    </customSheetView>
    <customSheetView guid="{8286488C-3E2A-4969-AFC8-11C0D17DBFA2}" scale="90" showPageBreaks="1" fitToPage="1">
      <pane ySplit="11" topLeftCell="A42" activePane="bottomLeft" state="frozen"/>
      <selection pane="bottomLeft" activeCell="H43" sqref="H4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F23" sqref="F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H15" sqref="H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42" activePane="bottomLeft" state="frozen"/>
      <selection pane="bottomLeft" activeCell="C46" sqref="C46:D4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4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4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42" activePane="bottomLeft" state="frozen"/>
      <selection pane="bottomLeft" activeCell="C46" sqref="C46:D4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4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42" activePane="bottomLeft" state="frozen"/>
      <selection pane="bottomLeft" activeCell="G39" activeCellId="2" sqref="G32:G33 G35 G39"/>
      <pageMargins left="0.31496062992125984" right="0.31496062992125984" top="0.35433070866141736" bottom="0.35433070866141736" header="0.31496062992125984" footer="0.31496062992125984"/>
      <pageSetup paperSize="9" scale="18" fitToHeight="2" orientation="landscape" verticalDpi="180" r:id="rId14"/>
    </customSheetView>
    <customSheetView guid="{5E847525-B5B0-4151-9870-F971B482221C}" scale="90" showPageBreaks="1" fitToPage="1">
      <pane ySplit="11" topLeftCell="A42" activePane="bottomLeft" state="frozen"/>
      <selection pane="bottomLeft" activeCell="I43" sqref="I43"/>
      <pageMargins left="0.31496062992125984" right="0.31496062992125984" top="0.35433070866141736" bottom="0.35433070866141736" header="0.31496062992125984" footer="0.31496062992125984"/>
      <pageSetup paperSize="9" scale="36" fitToHeight="2" orientation="landscape" verticalDpi="180" r:id="rId15"/>
    </customSheetView>
    <customSheetView guid="{F096868F-4D12-4AA8-9A60-4F727A578110}" scale="90" showPageBreaks="1" fitToPage="1">
      <pane ySplit="11" topLeftCell="A63" activePane="bottomLeft" state="frozen"/>
      <selection pane="bottomLeft" activeCell="A34" sqref="A34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6"/>
  <sheetViews>
    <sheetView zoomScale="90" zoomScaleNormal="90" workbookViewId="0">
      <pane ySplit="10" topLeftCell="A11" activePane="bottomLeft" state="frozen"/>
      <selection activeCell="H14" sqref="H14"/>
      <selection pane="bottomLeft" activeCell="L20" sqref="L20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4.140625" style="2" customWidth="1"/>
    <col min="4" max="4" width="14.85546875" style="2" customWidth="1"/>
    <col min="5" max="5" width="13.85546875" style="2" customWidth="1"/>
    <col min="6" max="6" width="11.5703125" style="2" customWidth="1"/>
    <col min="7" max="8" width="16.5703125" style="2" customWidth="1"/>
    <col min="9" max="9" width="14.7109375" style="2" customWidth="1"/>
    <col min="10" max="11" width="16.5703125" style="2" customWidth="1"/>
    <col min="12" max="12" width="17.5703125" style="2" customWidth="1"/>
    <col min="13" max="13" width="56.42578125" style="2" customWidth="1"/>
    <col min="14" max="15" width="16.42578125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25.5" customHeight="1" x14ac:dyDescent="0.25">
      <c r="A4" s="323" t="s">
        <v>64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348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100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8" customFormat="1" ht="28.5" x14ac:dyDescent="0.25">
      <c r="A11" s="234">
        <v>1</v>
      </c>
      <c r="B11" s="246" t="s">
        <v>349</v>
      </c>
      <c r="C11" s="246">
        <f>C12</f>
        <v>0</v>
      </c>
      <c r="D11" s="246">
        <f t="shared" ref="D11:F11" si="0">D12</f>
        <v>0</v>
      </c>
      <c r="E11" s="246">
        <f t="shared" si="0"/>
        <v>0</v>
      </c>
      <c r="F11" s="246">
        <f t="shared" si="0"/>
        <v>0</v>
      </c>
      <c r="G11" s="246">
        <f>H11+I11</f>
        <v>1353100</v>
      </c>
      <c r="H11" s="235">
        <f>H12+H13</f>
        <v>0</v>
      </c>
      <c r="I11" s="235">
        <f t="shared" ref="I11:L11" si="1">I12+I13</f>
        <v>1353100</v>
      </c>
      <c r="J11" s="235">
        <f t="shared" si="1"/>
        <v>0</v>
      </c>
      <c r="K11" s="235">
        <f t="shared" si="1"/>
        <v>1353100</v>
      </c>
      <c r="L11" s="235">
        <f t="shared" si="1"/>
        <v>19696900</v>
      </c>
      <c r="M11" s="247"/>
      <c r="N11" s="239"/>
      <c r="O11" s="239"/>
      <c r="P11" s="235">
        <f>P12+P13</f>
        <v>0</v>
      </c>
      <c r="Q11" s="235">
        <f>R11+S11</f>
        <v>0</v>
      </c>
      <c r="R11" s="235">
        <f t="shared" ref="R11:S11" si="2">R12+R13</f>
        <v>0</v>
      </c>
      <c r="S11" s="235">
        <f t="shared" si="2"/>
        <v>0</v>
      </c>
      <c r="T11" s="235">
        <f>T12+T13</f>
        <v>2500000</v>
      </c>
      <c r="U11" s="235">
        <f t="shared" ref="U11:W11" si="3">U12+U13</f>
        <v>25252.53</v>
      </c>
      <c r="V11" s="235">
        <f t="shared" si="3"/>
        <v>25252.53</v>
      </c>
      <c r="W11" s="235">
        <f t="shared" si="3"/>
        <v>0</v>
      </c>
    </row>
    <row r="12" spans="1:23" s="11" customFormat="1" ht="30" x14ac:dyDescent="0.25">
      <c r="A12" s="236">
        <v>1</v>
      </c>
      <c r="B12" s="39" t="s">
        <v>357</v>
      </c>
      <c r="C12" s="39">
        <v>0</v>
      </c>
      <c r="D12" s="39">
        <v>0</v>
      </c>
      <c r="E12" s="39">
        <v>0</v>
      </c>
      <c r="F12" s="39">
        <v>0</v>
      </c>
      <c r="G12" s="44">
        <f t="shared" ref="G12:G20" si="4">H12+I12</f>
        <v>0</v>
      </c>
      <c r="H12" s="8">
        <v>0</v>
      </c>
      <c r="I12" s="8">
        <f>J12+K12</f>
        <v>0</v>
      </c>
      <c r="J12" s="8">
        <v>0</v>
      </c>
      <c r="K12" s="47">
        <v>0</v>
      </c>
      <c r="L12" s="8"/>
      <c r="M12" s="39"/>
      <c r="N12" s="36"/>
      <c r="O12" s="36"/>
      <c r="P12" s="8">
        <v>0</v>
      </c>
      <c r="Q12" s="8">
        <f>R12+S12</f>
        <v>0</v>
      </c>
      <c r="R12" s="8">
        <v>0</v>
      </c>
      <c r="S12" s="8">
        <v>0</v>
      </c>
      <c r="T12" s="8">
        <v>2500000</v>
      </c>
      <c r="U12" s="8">
        <f>V12+W12</f>
        <v>25252.53</v>
      </c>
      <c r="V12" s="8">
        <v>25252.53</v>
      </c>
      <c r="W12" s="8">
        <v>0</v>
      </c>
    </row>
    <row r="13" spans="1:23" s="11" customFormat="1" ht="90" x14ac:dyDescent="0.25">
      <c r="A13" s="236">
        <v>2</v>
      </c>
      <c r="B13" s="44"/>
      <c r="C13" s="44"/>
      <c r="D13" s="44"/>
      <c r="E13" s="44"/>
      <c r="F13" s="44"/>
      <c r="G13" s="44">
        <f t="shared" si="4"/>
        <v>1353100</v>
      </c>
      <c r="H13" s="8">
        <v>0</v>
      </c>
      <c r="I13" s="8">
        <f>J13+K13</f>
        <v>1353100</v>
      </c>
      <c r="J13" s="8">
        <v>0</v>
      </c>
      <c r="K13" s="8">
        <v>1353100</v>
      </c>
      <c r="L13" s="266">
        <v>19696900</v>
      </c>
      <c r="M13" s="267" t="s">
        <v>459</v>
      </c>
      <c r="N13" s="36"/>
      <c r="O13" s="36"/>
      <c r="P13" s="8">
        <v>0</v>
      </c>
      <c r="Q13" s="8">
        <f>R13+S13</f>
        <v>0</v>
      </c>
      <c r="R13" s="8">
        <v>0</v>
      </c>
      <c r="S13" s="8">
        <v>0</v>
      </c>
      <c r="T13" s="8">
        <v>0</v>
      </c>
      <c r="U13" s="8">
        <f>V13+W13</f>
        <v>0</v>
      </c>
      <c r="V13" s="8">
        <v>0</v>
      </c>
      <c r="W13" s="8">
        <v>0</v>
      </c>
    </row>
    <row r="14" spans="1:23" s="11" customFormat="1" ht="28.5" x14ac:dyDescent="0.25">
      <c r="A14" s="234">
        <v>2</v>
      </c>
      <c r="B14" s="44" t="s">
        <v>350</v>
      </c>
      <c r="C14" s="44">
        <f>C15+C17+C18</f>
        <v>2258657.4</v>
      </c>
      <c r="D14" s="44">
        <f>D15+D17+D18</f>
        <v>6329397.2699999996</v>
      </c>
      <c r="E14" s="44">
        <v>0</v>
      </c>
      <c r="F14" s="44">
        <v>0</v>
      </c>
      <c r="G14" s="44">
        <f t="shared" si="4"/>
        <v>8072000</v>
      </c>
      <c r="H14" s="45">
        <f>H15</f>
        <v>6348900</v>
      </c>
      <c r="I14" s="45">
        <f>J14+K14</f>
        <v>1723100</v>
      </c>
      <c r="J14" s="45">
        <f>J15</f>
        <v>705433.33</v>
      </c>
      <c r="K14" s="45">
        <f>K15</f>
        <v>1017666.67</v>
      </c>
      <c r="L14" s="45">
        <f>SUM(L15:L16)</f>
        <v>6494834.2000000002</v>
      </c>
      <c r="M14" s="46"/>
      <c r="N14" s="40"/>
      <c r="O14" s="40"/>
      <c r="P14" s="45">
        <v>6348900</v>
      </c>
      <c r="Q14" s="45">
        <f>R14+S14</f>
        <v>3117300</v>
      </c>
      <c r="R14" s="45">
        <v>705433.33</v>
      </c>
      <c r="S14" s="45">
        <v>2411866.67</v>
      </c>
      <c r="T14" s="45">
        <v>6348900</v>
      </c>
      <c r="U14" s="45">
        <f>V14+W14</f>
        <v>3036647.47</v>
      </c>
      <c r="V14" s="45">
        <v>705433.33</v>
      </c>
      <c r="W14" s="45">
        <v>2331214.14</v>
      </c>
    </row>
    <row r="15" spans="1:23" s="11" customFormat="1" ht="45" x14ac:dyDescent="0.25">
      <c r="A15" s="236">
        <v>1</v>
      </c>
      <c r="B15" s="267" t="s">
        <v>354</v>
      </c>
      <c r="C15" s="39"/>
      <c r="D15" s="39"/>
      <c r="E15" s="39"/>
      <c r="F15" s="39"/>
      <c r="G15" s="44">
        <f t="shared" si="4"/>
        <v>8072000</v>
      </c>
      <c r="H15" s="8">
        <v>6348900</v>
      </c>
      <c r="I15" s="8">
        <f>J15+K15</f>
        <v>1723100</v>
      </c>
      <c r="J15" s="8">
        <v>705433.33</v>
      </c>
      <c r="K15" s="8">
        <v>1017666.67</v>
      </c>
      <c r="L15" s="266">
        <v>4070543.2</v>
      </c>
      <c r="M15" s="267" t="s">
        <v>461</v>
      </c>
      <c r="N15" s="42"/>
      <c r="O15" s="42"/>
      <c r="P15" s="8">
        <v>0</v>
      </c>
      <c r="Q15" s="8">
        <f>R15+S15</f>
        <v>0</v>
      </c>
      <c r="R15" s="8">
        <v>0</v>
      </c>
      <c r="S15" s="8">
        <v>0</v>
      </c>
      <c r="T15" s="8">
        <v>0</v>
      </c>
      <c r="U15" s="8">
        <f>V15+W15</f>
        <v>0</v>
      </c>
      <c r="V15" s="8">
        <v>0</v>
      </c>
      <c r="W15" s="8">
        <v>0</v>
      </c>
    </row>
    <row r="16" spans="1:23" s="11" customFormat="1" ht="30" x14ac:dyDescent="0.25">
      <c r="A16" s="236"/>
      <c r="B16" s="267" t="s">
        <v>460</v>
      </c>
      <c r="C16" s="39"/>
      <c r="D16" s="39"/>
      <c r="E16" s="39"/>
      <c r="F16" s="39"/>
      <c r="G16" s="44"/>
      <c r="H16" s="8"/>
      <c r="I16" s="8"/>
      <c r="J16" s="8"/>
      <c r="K16" s="8"/>
      <c r="L16" s="266">
        <v>2424291</v>
      </c>
      <c r="M16" s="267" t="s">
        <v>462</v>
      </c>
      <c r="N16" s="42"/>
      <c r="O16" s="42"/>
      <c r="P16" s="8"/>
      <c r="Q16" s="8"/>
      <c r="R16" s="8"/>
      <c r="S16" s="8"/>
      <c r="T16" s="8"/>
      <c r="U16" s="8"/>
      <c r="V16" s="8"/>
      <c r="W16" s="8"/>
    </row>
    <row r="17" spans="1:23" s="11" customFormat="1" x14ac:dyDescent="0.25">
      <c r="A17" s="236">
        <v>2</v>
      </c>
      <c r="B17" s="39" t="s">
        <v>411</v>
      </c>
      <c r="C17" s="39">
        <v>2258657.4</v>
      </c>
      <c r="D17" s="39">
        <v>4329397.2699999996</v>
      </c>
      <c r="E17" s="39">
        <v>0</v>
      </c>
      <c r="F17" s="39">
        <v>0</v>
      </c>
      <c r="G17" s="44">
        <f t="shared" si="4"/>
        <v>0</v>
      </c>
      <c r="H17" s="8"/>
      <c r="I17" s="8"/>
      <c r="J17" s="8"/>
      <c r="K17" s="8"/>
      <c r="L17" s="8"/>
      <c r="M17" s="39"/>
      <c r="N17" s="42"/>
      <c r="O17" s="42"/>
      <c r="P17" s="8"/>
      <c r="Q17" s="8"/>
      <c r="R17" s="8"/>
      <c r="S17" s="8"/>
      <c r="T17" s="8"/>
      <c r="U17" s="8"/>
      <c r="V17" s="8"/>
      <c r="W17" s="8"/>
    </row>
    <row r="18" spans="1:23" s="11" customFormat="1" x14ac:dyDescent="0.25">
      <c r="A18" s="236">
        <v>3</v>
      </c>
      <c r="B18" s="39" t="s">
        <v>412</v>
      </c>
      <c r="C18" s="39">
        <v>0</v>
      </c>
      <c r="D18" s="39">
        <v>2000000</v>
      </c>
      <c r="E18" s="39">
        <v>0</v>
      </c>
      <c r="F18" s="39">
        <v>0</v>
      </c>
      <c r="G18" s="44">
        <f t="shared" si="4"/>
        <v>0</v>
      </c>
      <c r="H18" s="8"/>
      <c r="I18" s="8"/>
      <c r="J18" s="8"/>
      <c r="K18" s="8"/>
      <c r="L18" s="8"/>
      <c r="M18" s="39"/>
      <c r="N18" s="42"/>
      <c r="O18" s="42"/>
      <c r="P18" s="8"/>
      <c r="Q18" s="8"/>
      <c r="R18" s="8"/>
      <c r="S18" s="8"/>
      <c r="T18" s="8"/>
      <c r="U18" s="8"/>
      <c r="V18" s="8"/>
      <c r="W18" s="8"/>
    </row>
    <row r="19" spans="1:23" s="11" customFormat="1" ht="14.45" x14ac:dyDescent="0.3">
      <c r="A19" s="236"/>
      <c r="B19" s="39"/>
      <c r="C19" s="39"/>
      <c r="D19" s="39"/>
      <c r="E19" s="39"/>
      <c r="F19" s="39"/>
      <c r="G19" s="44"/>
      <c r="H19" s="8"/>
      <c r="I19" s="8"/>
      <c r="J19" s="8"/>
      <c r="K19" s="8"/>
      <c r="L19" s="8"/>
      <c r="M19" s="39"/>
      <c r="N19" s="18"/>
      <c r="O19" s="18"/>
      <c r="P19" s="8"/>
      <c r="Q19" s="8"/>
      <c r="R19" s="8"/>
      <c r="S19" s="8"/>
      <c r="T19" s="8"/>
      <c r="U19" s="8"/>
      <c r="V19" s="8"/>
      <c r="W19" s="8"/>
    </row>
    <row r="20" spans="1:23" s="1" customFormat="1" x14ac:dyDescent="0.25">
      <c r="A20" s="237"/>
      <c r="B20" s="15" t="s">
        <v>14</v>
      </c>
      <c r="C20" s="15">
        <f>C11+C14</f>
        <v>2258657.4</v>
      </c>
      <c r="D20" s="15">
        <f t="shared" ref="D20:F20" si="5">D11+D14</f>
        <v>6329397.2699999996</v>
      </c>
      <c r="E20" s="15">
        <f t="shared" si="5"/>
        <v>0</v>
      </c>
      <c r="F20" s="15">
        <f t="shared" si="5"/>
        <v>0</v>
      </c>
      <c r="G20" s="44">
        <f t="shared" si="4"/>
        <v>9425100</v>
      </c>
      <c r="H20" s="16">
        <f>H11+H14</f>
        <v>6348900</v>
      </c>
      <c r="I20" s="16">
        <f t="shared" ref="I20:W20" si="6">I11+I14</f>
        <v>3076200</v>
      </c>
      <c r="J20" s="16">
        <f t="shared" si="6"/>
        <v>705433.33</v>
      </c>
      <c r="K20" s="16">
        <f t="shared" si="6"/>
        <v>2370766.67</v>
      </c>
      <c r="L20" s="16">
        <f t="shared" si="6"/>
        <v>26191734.199999999</v>
      </c>
      <c r="M20" s="48"/>
      <c r="N20" s="18">
        <v>0</v>
      </c>
      <c r="O20" s="18">
        <v>0</v>
      </c>
      <c r="P20" s="16">
        <f t="shared" si="6"/>
        <v>6348900</v>
      </c>
      <c r="Q20" s="16">
        <f t="shared" si="6"/>
        <v>3117300</v>
      </c>
      <c r="R20" s="16">
        <f t="shared" si="6"/>
        <v>705433.33</v>
      </c>
      <c r="S20" s="16">
        <f t="shared" si="6"/>
        <v>2411866.67</v>
      </c>
      <c r="T20" s="16">
        <f t="shared" si="6"/>
        <v>8848900</v>
      </c>
      <c r="U20" s="16">
        <f t="shared" si="6"/>
        <v>3061900</v>
      </c>
      <c r="V20" s="16">
        <f t="shared" si="6"/>
        <v>730685.86</v>
      </c>
      <c r="W20" s="16">
        <f t="shared" si="6"/>
        <v>2331214.14</v>
      </c>
    </row>
    <row r="21" spans="1:23" ht="14.45" x14ac:dyDescent="0.3">
      <c r="U21" s="49"/>
      <c r="V21" s="49"/>
      <c r="W21" s="49"/>
    </row>
    <row r="26" spans="1:23" x14ac:dyDescent="0.25">
      <c r="B26" s="2" t="s">
        <v>14</v>
      </c>
      <c r="C26" s="2">
        <v>2258657.4</v>
      </c>
      <c r="D26" s="2">
        <v>6329397.2699999996</v>
      </c>
      <c r="E26" s="2">
        <v>0</v>
      </c>
      <c r="F26" s="2">
        <v>0</v>
      </c>
      <c r="G26" s="2">
        <v>9425100</v>
      </c>
      <c r="H26" s="2">
        <v>6348900</v>
      </c>
      <c r="I26" s="2">
        <v>3076200</v>
      </c>
      <c r="J26" s="2">
        <v>705433.33</v>
      </c>
      <c r="K26" s="2">
        <v>2370766.67</v>
      </c>
      <c r="L26" s="2">
        <v>9146900</v>
      </c>
      <c r="P26" s="2">
        <v>6348900</v>
      </c>
      <c r="Q26" s="2">
        <v>3117300</v>
      </c>
      <c r="R26" s="2">
        <v>705433.33</v>
      </c>
      <c r="S26" s="2">
        <v>2411866.67</v>
      </c>
      <c r="T26" s="2">
        <v>8848900</v>
      </c>
      <c r="U26" s="2">
        <v>3061900</v>
      </c>
      <c r="V26" s="2">
        <v>730685.86</v>
      </c>
      <c r="W26" s="2">
        <v>2331214.14</v>
      </c>
    </row>
  </sheetData>
  <customSheetViews>
    <customSheetView guid="{F55D2626-B25D-4865-88D7-A4040A583D45}" scale="90" showPageBreaks="1" fitToPage="1" topLeftCell="D1">
      <pane ySplit="10" topLeftCell="A16" activePane="bottomLeft" state="frozen"/>
      <selection pane="bottomLeft" activeCell="N19" sqref="N19:O19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90" showPageBreaks="1" fitToPage="1" topLeftCell="E1">
      <pane ySplit="10" topLeftCell="A11" activePane="bottomLeft" state="frozen"/>
      <selection pane="bottomLeft" activeCell="H13" sqref="H13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90" showPageBreaks="1" fitToPage="1">
      <pane ySplit="10" topLeftCell="A11" activePane="bottomLeft" state="frozen"/>
      <selection pane="bottomLeft" activeCell="C1" sqref="C1:C1048576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90" showPageBreaks="1" fitToPage="1">
      <pane ySplit="11" topLeftCell="A30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0" topLeftCell="A11" activePane="bottomLeft" state="frozen"/>
      <selection pane="bottomLeft" activeCell="G12" sqref="G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0" topLeftCell="A14" activePane="bottomLeft" state="frozen"/>
      <selection pane="bottomLeft" activeCell="E24" sqref="E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30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30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30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30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J24" sqref="J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0" topLeftCell="A11" activePane="bottomLeft" state="frozen"/>
      <selection pane="bottomLeft" activeCell="H20" sqref="H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0" topLeftCell="C14" activePane="bottomRight" state="frozen"/>
      <selection pane="bottomRight" activeCell="F31" sqref="F31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6"/>
    </customSheetView>
  </customSheetViews>
  <mergeCells count="34"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E7:F9"/>
    <mergeCell ref="M8:M10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  <mergeCell ref="L8:L10"/>
    <mergeCell ref="O6:O10"/>
    <mergeCell ref="N6:N10"/>
    <mergeCell ref="Q8:Q10"/>
    <mergeCell ref="U8:U10"/>
    <mergeCell ref="C6:F6"/>
    <mergeCell ref="C7:D9"/>
    <mergeCell ref="G6:G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6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2.85546875" style="2" customWidth="1"/>
    <col min="12" max="12" width="17.5703125" style="2" customWidth="1"/>
    <col min="13" max="13" width="56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21.75" customHeight="1" x14ac:dyDescent="0.25">
      <c r="A4" s="291" t="s">
        <v>65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9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19.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00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8"/>
      <c r="D11" s="238"/>
      <c r="E11" s="238"/>
      <c r="F11" s="238"/>
      <c r="G11" s="238"/>
      <c r="H11" s="244">
        <v>3</v>
      </c>
      <c r="I11" s="233">
        <v>4</v>
      </c>
      <c r="J11" s="238">
        <v>5</v>
      </c>
      <c r="K11" s="244">
        <v>6</v>
      </c>
      <c r="L11" s="238">
        <v>7</v>
      </c>
      <c r="M11" s="244">
        <v>8</v>
      </c>
      <c r="N11" s="239"/>
      <c r="O11" s="239"/>
      <c r="P11" s="244">
        <v>9</v>
      </c>
      <c r="Q11" s="233">
        <v>10</v>
      </c>
      <c r="R11" s="238">
        <v>11</v>
      </c>
      <c r="S11" s="244">
        <v>12</v>
      </c>
      <c r="T11" s="244">
        <v>13</v>
      </c>
      <c r="U11" s="233">
        <v>14</v>
      </c>
      <c r="V11" s="238">
        <v>15</v>
      </c>
      <c r="W11" s="244">
        <v>16</v>
      </c>
    </row>
    <row r="12" spans="1:23" s="25" customFormat="1" ht="45" x14ac:dyDescent="0.25">
      <c r="A12" s="234">
        <v>1</v>
      </c>
      <c r="B12" s="13" t="s">
        <v>287</v>
      </c>
      <c r="C12" s="13">
        <v>0</v>
      </c>
      <c r="D12" s="13">
        <v>0</v>
      </c>
      <c r="E12" s="13">
        <v>0</v>
      </c>
      <c r="F12" s="13">
        <v>0</v>
      </c>
      <c r="G12" s="13">
        <f>H12+I12</f>
        <v>0</v>
      </c>
      <c r="H12" s="8">
        <f>H14</f>
        <v>0</v>
      </c>
      <c r="I12" s="8">
        <f>I14</f>
        <v>0</v>
      </c>
      <c r="J12" s="8">
        <f>J14</f>
        <v>0</v>
      </c>
      <c r="K12" s="8">
        <f>K14</f>
        <v>0</v>
      </c>
      <c r="L12" s="8">
        <f>L14</f>
        <v>2928353</v>
      </c>
      <c r="M12" s="8"/>
      <c r="N12" s="36"/>
      <c r="O12" s="36"/>
      <c r="P12" s="8">
        <f t="shared" ref="P12:W12" si="0">P14</f>
        <v>0</v>
      </c>
      <c r="Q12" s="8">
        <f t="shared" si="0"/>
        <v>0</v>
      </c>
      <c r="R12" s="8">
        <f t="shared" si="0"/>
        <v>0</v>
      </c>
      <c r="S12" s="8">
        <f t="shared" si="0"/>
        <v>0</v>
      </c>
      <c r="T12" s="8">
        <f t="shared" si="0"/>
        <v>0</v>
      </c>
      <c r="U12" s="8">
        <f t="shared" si="0"/>
        <v>0</v>
      </c>
      <c r="V12" s="8">
        <f t="shared" si="0"/>
        <v>0</v>
      </c>
      <c r="W12" s="8">
        <f t="shared" si="0"/>
        <v>0</v>
      </c>
    </row>
    <row r="13" spans="1:23" s="25" customFormat="1" x14ac:dyDescent="0.25">
      <c r="A13" s="233"/>
      <c r="B13" s="37" t="s">
        <v>1</v>
      </c>
      <c r="C13" s="37"/>
      <c r="D13" s="37"/>
      <c r="E13" s="37"/>
      <c r="F13" s="37"/>
      <c r="G13" s="37"/>
      <c r="H13" s="8"/>
      <c r="I13" s="8"/>
      <c r="J13" s="8"/>
      <c r="K13" s="8"/>
      <c r="L13" s="8"/>
      <c r="M13" s="38"/>
      <c r="N13" s="36"/>
      <c r="O13" s="36"/>
      <c r="P13" s="8"/>
      <c r="Q13" s="8"/>
      <c r="R13" s="8"/>
      <c r="S13" s="8"/>
      <c r="T13" s="8"/>
      <c r="U13" s="8"/>
      <c r="V13" s="8"/>
      <c r="W13" s="8"/>
    </row>
    <row r="14" spans="1:23" s="41" customFormat="1" ht="105" x14ac:dyDescent="0.25">
      <c r="A14" s="236" t="s">
        <v>4</v>
      </c>
      <c r="B14" s="39" t="s">
        <v>288</v>
      </c>
      <c r="C14" s="39">
        <v>0</v>
      </c>
      <c r="D14" s="39">
        <v>0</v>
      </c>
      <c r="E14" s="13">
        <v>0</v>
      </c>
      <c r="F14" s="13">
        <v>0</v>
      </c>
      <c r="G14" s="13">
        <f>H14+I14</f>
        <v>0</v>
      </c>
      <c r="H14" s="8"/>
      <c r="I14" s="8">
        <f>J14+K14</f>
        <v>0</v>
      </c>
      <c r="J14" s="8"/>
      <c r="K14" s="8"/>
      <c r="L14" s="8">
        <v>2928353</v>
      </c>
      <c r="M14" s="39" t="s">
        <v>148</v>
      </c>
      <c r="N14" s="9">
        <v>63000</v>
      </c>
      <c r="O14" s="40"/>
      <c r="P14" s="8"/>
      <c r="Q14" s="8">
        <f t="shared" ref="Q14" si="1">R14+S14</f>
        <v>0</v>
      </c>
      <c r="R14" s="8"/>
      <c r="S14" s="8"/>
      <c r="T14" s="8"/>
      <c r="U14" s="8">
        <f t="shared" ref="U14" si="2">V14+W14</f>
        <v>0</v>
      </c>
      <c r="V14" s="8"/>
      <c r="W14" s="8"/>
    </row>
    <row r="15" spans="1:23" s="41" customFormat="1" ht="13.9" x14ac:dyDescent="0.25">
      <c r="A15" s="236"/>
      <c r="B15" s="39"/>
      <c r="C15" s="39"/>
      <c r="D15" s="39"/>
      <c r="E15" s="13"/>
      <c r="F15" s="13"/>
      <c r="G15" s="13"/>
      <c r="H15" s="8"/>
      <c r="I15" s="8"/>
      <c r="J15" s="8"/>
      <c r="K15" s="8"/>
      <c r="L15" s="8"/>
      <c r="M15" s="39"/>
      <c r="N15" s="42"/>
      <c r="O15" s="42"/>
      <c r="P15" s="8"/>
      <c r="Q15" s="8"/>
      <c r="R15" s="8"/>
      <c r="S15" s="8"/>
      <c r="T15" s="8"/>
      <c r="U15" s="8"/>
      <c r="V15" s="8"/>
      <c r="W15" s="8"/>
    </row>
    <row r="16" spans="1:23" s="35" customFormat="1" x14ac:dyDescent="0.25">
      <c r="A16" s="237"/>
      <c r="B16" s="15" t="s">
        <v>14</v>
      </c>
      <c r="C16" s="15">
        <v>0</v>
      </c>
      <c r="D16" s="15">
        <v>0</v>
      </c>
      <c r="E16" s="15">
        <f>E14</f>
        <v>0</v>
      </c>
      <c r="F16" s="15">
        <f t="shared" ref="F16:G16" si="3">F14</f>
        <v>0</v>
      </c>
      <c r="G16" s="15">
        <f t="shared" si="3"/>
        <v>0</v>
      </c>
      <c r="H16" s="16">
        <f t="shared" ref="H16:W16" si="4">H12</f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2928353</v>
      </c>
      <c r="M16" s="16">
        <f t="shared" si="4"/>
        <v>0</v>
      </c>
      <c r="N16" s="43">
        <f>SUM(N12:N15)</f>
        <v>63000</v>
      </c>
      <c r="O16" s="43"/>
      <c r="P16" s="16">
        <f t="shared" si="4"/>
        <v>0</v>
      </c>
      <c r="Q16" s="16">
        <f t="shared" si="4"/>
        <v>0</v>
      </c>
      <c r="R16" s="16">
        <f t="shared" si="4"/>
        <v>0</v>
      </c>
      <c r="S16" s="16">
        <f t="shared" si="4"/>
        <v>0</v>
      </c>
      <c r="T16" s="16">
        <f t="shared" si="4"/>
        <v>0</v>
      </c>
      <c r="U16" s="16">
        <f t="shared" si="4"/>
        <v>0</v>
      </c>
      <c r="V16" s="16">
        <f t="shared" si="4"/>
        <v>0</v>
      </c>
      <c r="W16" s="16">
        <f t="shared" si="4"/>
        <v>0</v>
      </c>
    </row>
  </sheetData>
  <customSheetViews>
    <customSheetView guid="{F55D2626-B25D-4865-88D7-A4040A583D45}" scale="90" showPageBreaks="1" fitToPage="1" topLeftCell="I1">
      <pane ySplit="11" topLeftCell="A12" activePane="bottomLeft" state="frozen"/>
      <selection pane="bottomLeft" activeCell="N16" sqref="N16:O16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C1">
      <pane ySplit="11" topLeftCell="A12" activePane="bottomLeft" state="frozen"/>
      <selection pane="bottomLeft" activeCell="N14" sqref="N14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M16" sqref="M16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A15" sqref="A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H14" sqref="H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A15" sqref="A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A15" sqref="A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H25" sqref="H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H25" sqref="H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H14" sqref="H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30" activePane="bottomLeft" state="frozen"/>
      <selection pane="bottomLeft" activeCell="H25" sqref="H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A15" sqref="A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H25" sqref="H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H25" sqref="H2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H14" sqref="H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5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E7:F9"/>
    <mergeCell ref="N6:N10"/>
    <mergeCell ref="Q8:Q10"/>
    <mergeCell ref="L8:L10"/>
    <mergeCell ref="O6:O10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C7:D9"/>
    <mergeCell ref="M8:M10"/>
    <mergeCell ref="U8:U10"/>
    <mergeCell ref="C6:F6"/>
    <mergeCell ref="V8:W8"/>
    <mergeCell ref="J9:J10"/>
    <mergeCell ref="K9:K10"/>
    <mergeCell ref="R9:R10"/>
    <mergeCell ref="S9:S10"/>
    <mergeCell ref="V9:V10"/>
    <mergeCell ref="W9:W10"/>
    <mergeCell ref="P7:P10"/>
    <mergeCell ref="Q7:S7"/>
    <mergeCell ref="T7:T10"/>
    <mergeCell ref="U7:W7"/>
    <mergeCell ref="R8:S8"/>
  </mergeCells>
  <pageMargins left="0.31496062992125984" right="0.31496062992125984" top="0.35433070866141736" bottom="0.35433070866141736" header="0.31496062992125984" footer="0.31496062992125984"/>
  <pageSetup paperSize="9" scale="32" fitToHeight="2" orientation="landscape" verticalDpi="180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6"/>
  <sheetViews>
    <sheetView zoomScale="80" zoomScaleNormal="80" workbookViewId="0">
      <pane ySplit="11" topLeftCell="A18" activePane="bottomLeft" state="frozen"/>
      <selection activeCell="H14" sqref="H14"/>
      <selection pane="bottomLeft" activeCell="H27" sqref="H27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6" width="15" style="2" customWidth="1"/>
    <col min="7" max="7" width="17.7109375" style="2" customWidth="1"/>
    <col min="8" max="11" width="19.5703125" style="2" customWidth="1"/>
    <col min="12" max="12" width="17.5703125" style="2" customWidth="1"/>
    <col min="13" max="13" width="56.42578125" style="2" customWidth="1"/>
    <col min="14" max="14" width="12.28515625" style="2" customWidth="1"/>
    <col min="15" max="15" width="18.5703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2.75" customHeight="1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21.75" customHeight="1" x14ac:dyDescent="0.3">
      <c r="A4" s="303" t="s">
        <v>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300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301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301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301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03.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302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8">
        <v>3</v>
      </c>
      <c r="D11" s="233">
        <v>4</v>
      </c>
      <c r="E11" s="233">
        <v>5</v>
      </c>
      <c r="F11" s="238">
        <v>6</v>
      </c>
      <c r="G11" s="238">
        <v>7</v>
      </c>
      <c r="H11" s="233">
        <v>8</v>
      </c>
      <c r="I11" s="233">
        <v>9</v>
      </c>
      <c r="J11" s="238">
        <v>10</v>
      </c>
      <c r="K11" s="238">
        <v>11</v>
      </c>
      <c r="L11" s="233">
        <v>12</v>
      </c>
      <c r="M11" s="233">
        <v>13</v>
      </c>
      <c r="N11" s="239"/>
      <c r="O11" s="239"/>
      <c r="P11" s="238">
        <v>14</v>
      </c>
      <c r="Q11" s="238">
        <v>15</v>
      </c>
      <c r="R11" s="233">
        <v>16</v>
      </c>
      <c r="S11" s="233">
        <v>17</v>
      </c>
      <c r="T11" s="238">
        <v>18</v>
      </c>
      <c r="U11" s="238">
        <v>19</v>
      </c>
      <c r="V11" s="233">
        <v>20</v>
      </c>
      <c r="W11" s="233">
        <v>21</v>
      </c>
    </row>
    <row r="12" spans="1:23" s="11" customFormat="1" ht="31.5" x14ac:dyDescent="0.25">
      <c r="A12" s="234">
        <v>1</v>
      </c>
      <c r="B12" s="228" t="s">
        <v>169</v>
      </c>
      <c r="C12" s="228">
        <v>0</v>
      </c>
      <c r="D12" s="228">
        <v>125400</v>
      </c>
      <c r="E12" s="228">
        <v>0</v>
      </c>
      <c r="F12" s="228">
        <f>90000+35400</f>
        <v>125400</v>
      </c>
      <c r="G12" s="228">
        <f>H12+I12</f>
        <v>60720</v>
      </c>
      <c r="H12" s="8">
        <v>0</v>
      </c>
      <c r="I12" s="3">
        <f t="shared" ref="I12:I22" si="0">J12+K12</f>
        <v>60720</v>
      </c>
      <c r="J12" s="3"/>
      <c r="K12" s="3">
        <v>60720</v>
      </c>
      <c r="L12" s="8"/>
      <c r="M12" s="34"/>
      <c r="N12" s="42"/>
      <c r="O12" s="42"/>
      <c r="P12" s="8"/>
      <c r="Q12" s="8">
        <f t="shared" ref="Q12:Q22" si="1">R12+S12</f>
        <v>60720</v>
      </c>
      <c r="R12" s="8"/>
      <c r="S12" s="8">
        <v>60720</v>
      </c>
      <c r="T12" s="8"/>
      <c r="U12" s="8">
        <f t="shared" ref="U12:U22" si="2">V12+W12</f>
        <v>60720</v>
      </c>
      <c r="V12" s="8"/>
      <c r="W12" s="8">
        <v>60720</v>
      </c>
    </row>
    <row r="13" spans="1:23" s="11" customFormat="1" ht="30" x14ac:dyDescent="0.25">
      <c r="A13" s="234">
        <v>2</v>
      </c>
      <c r="B13" s="13" t="s">
        <v>170</v>
      </c>
      <c r="C13" s="228">
        <v>0</v>
      </c>
      <c r="D13" s="13">
        <v>85000</v>
      </c>
      <c r="E13" s="228">
        <v>0</v>
      </c>
      <c r="F13" s="13">
        <v>0</v>
      </c>
      <c r="G13" s="228">
        <f t="shared" ref="G13:G26" si="3">H13+I13</f>
        <v>50000</v>
      </c>
      <c r="H13" s="8">
        <v>0</v>
      </c>
      <c r="I13" s="3">
        <f t="shared" si="0"/>
        <v>50000</v>
      </c>
      <c r="J13" s="3"/>
      <c r="K13" s="3">
        <v>50000</v>
      </c>
      <c r="L13" s="8"/>
      <c r="M13" s="34"/>
      <c r="N13" s="42"/>
      <c r="O13" s="42"/>
      <c r="P13" s="8"/>
      <c r="Q13" s="8">
        <f t="shared" si="1"/>
        <v>50000</v>
      </c>
      <c r="R13" s="8"/>
      <c r="S13" s="8">
        <v>50000</v>
      </c>
      <c r="T13" s="8"/>
      <c r="U13" s="8">
        <f t="shared" si="2"/>
        <v>50000</v>
      </c>
      <c r="V13" s="8"/>
      <c r="W13" s="8">
        <v>50000</v>
      </c>
    </row>
    <row r="14" spans="1:23" s="11" customFormat="1" ht="15.75" x14ac:dyDescent="0.25">
      <c r="A14" s="234">
        <v>3</v>
      </c>
      <c r="B14" s="13" t="s">
        <v>171</v>
      </c>
      <c r="C14" s="228">
        <v>0</v>
      </c>
      <c r="D14" s="13">
        <v>20000</v>
      </c>
      <c r="E14" s="228">
        <v>0</v>
      </c>
      <c r="F14" s="13">
        <v>20000</v>
      </c>
      <c r="G14" s="228">
        <f t="shared" si="3"/>
        <v>80000</v>
      </c>
      <c r="H14" s="8">
        <v>0</v>
      </c>
      <c r="I14" s="3">
        <f t="shared" si="0"/>
        <v>80000</v>
      </c>
      <c r="J14" s="3"/>
      <c r="K14" s="3">
        <v>80000</v>
      </c>
      <c r="L14" s="8"/>
      <c r="M14" s="34"/>
      <c r="N14" s="42"/>
      <c r="O14" s="42"/>
      <c r="P14" s="8"/>
      <c r="Q14" s="8">
        <f t="shared" si="1"/>
        <v>80000</v>
      </c>
      <c r="R14" s="8"/>
      <c r="S14" s="8">
        <v>80000</v>
      </c>
      <c r="T14" s="8"/>
      <c r="U14" s="8">
        <f t="shared" si="2"/>
        <v>80000</v>
      </c>
      <c r="V14" s="8"/>
      <c r="W14" s="8">
        <v>80000</v>
      </c>
    </row>
    <row r="15" spans="1:23" s="35" customFormat="1" ht="30" x14ac:dyDescent="0.25">
      <c r="A15" s="234">
        <v>4</v>
      </c>
      <c r="B15" s="13" t="s">
        <v>172</v>
      </c>
      <c r="C15" s="228">
        <v>0</v>
      </c>
      <c r="D15" s="13">
        <v>12000</v>
      </c>
      <c r="E15" s="228">
        <v>0</v>
      </c>
      <c r="F15" s="13">
        <v>0</v>
      </c>
      <c r="G15" s="228">
        <f t="shared" si="3"/>
        <v>56680</v>
      </c>
      <c r="H15" s="8">
        <v>0</v>
      </c>
      <c r="I15" s="3">
        <f t="shared" si="0"/>
        <v>56680</v>
      </c>
      <c r="J15" s="3"/>
      <c r="K15" s="3">
        <v>56680</v>
      </c>
      <c r="L15" s="8"/>
      <c r="M15" s="13"/>
      <c r="N15" s="70"/>
      <c r="O15" s="70"/>
      <c r="P15" s="8"/>
      <c r="Q15" s="8">
        <f t="shared" si="1"/>
        <v>56680</v>
      </c>
      <c r="R15" s="8"/>
      <c r="S15" s="8">
        <v>56680</v>
      </c>
      <c r="T15" s="8"/>
      <c r="U15" s="8">
        <f t="shared" si="2"/>
        <v>56680</v>
      </c>
      <c r="V15" s="8"/>
      <c r="W15" s="8">
        <v>56680</v>
      </c>
    </row>
    <row r="16" spans="1:23" s="35" customFormat="1" ht="15.75" x14ac:dyDescent="0.25">
      <c r="A16" s="234">
        <v>5</v>
      </c>
      <c r="B16" s="13" t="s">
        <v>173</v>
      </c>
      <c r="C16" s="228">
        <v>0</v>
      </c>
      <c r="D16" s="13">
        <v>5000</v>
      </c>
      <c r="E16" s="228">
        <v>0</v>
      </c>
      <c r="F16" s="13">
        <v>5000</v>
      </c>
      <c r="G16" s="228">
        <f t="shared" si="3"/>
        <v>10000</v>
      </c>
      <c r="H16" s="8">
        <v>0</v>
      </c>
      <c r="I16" s="3">
        <f t="shared" si="0"/>
        <v>10000</v>
      </c>
      <c r="J16" s="3"/>
      <c r="K16" s="3">
        <v>10000</v>
      </c>
      <c r="L16" s="8"/>
      <c r="M16" s="13"/>
      <c r="N16" s="70"/>
      <c r="O16" s="70"/>
      <c r="P16" s="8"/>
      <c r="Q16" s="8">
        <f t="shared" si="1"/>
        <v>10000</v>
      </c>
      <c r="R16" s="8"/>
      <c r="S16" s="8">
        <v>10000</v>
      </c>
      <c r="T16" s="8"/>
      <c r="U16" s="8">
        <f t="shared" si="2"/>
        <v>10000</v>
      </c>
      <c r="V16" s="8"/>
      <c r="W16" s="8">
        <v>10000</v>
      </c>
    </row>
    <row r="17" spans="1:23" s="35" customFormat="1" ht="45" x14ac:dyDescent="0.25">
      <c r="A17" s="234">
        <v>6</v>
      </c>
      <c r="B17" s="13" t="s">
        <v>174</v>
      </c>
      <c r="C17" s="228">
        <v>0</v>
      </c>
      <c r="D17" s="13">
        <v>15000</v>
      </c>
      <c r="E17" s="228">
        <v>0</v>
      </c>
      <c r="F17" s="13">
        <v>15000</v>
      </c>
      <c r="G17" s="228">
        <f t="shared" si="3"/>
        <v>48600</v>
      </c>
      <c r="H17" s="8">
        <v>0</v>
      </c>
      <c r="I17" s="3">
        <f t="shared" si="0"/>
        <v>48600</v>
      </c>
      <c r="J17" s="3"/>
      <c r="K17" s="3">
        <v>48600</v>
      </c>
      <c r="L17" s="8">
        <v>1400</v>
      </c>
      <c r="M17" s="13" t="s">
        <v>363</v>
      </c>
      <c r="N17" s="229"/>
      <c r="O17" s="9">
        <v>1400</v>
      </c>
      <c r="P17" s="8"/>
      <c r="Q17" s="8">
        <f t="shared" si="1"/>
        <v>48600</v>
      </c>
      <c r="R17" s="8"/>
      <c r="S17" s="8">
        <v>48600</v>
      </c>
      <c r="T17" s="8"/>
      <c r="U17" s="8">
        <f t="shared" si="2"/>
        <v>47200</v>
      </c>
      <c r="V17" s="8"/>
      <c r="W17" s="8">
        <v>47200</v>
      </c>
    </row>
    <row r="18" spans="1:23" s="35" customFormat="1" ht="30" x14ac:dyDescent="0.25">
      <c r="A18" s="234">
        <v>7</v>
      </c>
      <c r="B18" s="13" t="s">
        <v>175</v>
      </c>
      <c r="C18" s="228">
        <v>0</v>
      </c>
      <c r="D18" s="13"/>
      <c r="E18" s="228">
        <v>0</v>
      </c>
      <c r="F18" s="13"/>
      <c r="G18" s="228">
        <f t="shared" si="3"/>
        <v>0</v>
      </c>
      <c r="H18" s="8">
        <v>0</v>
      </c>
      <c r="I18" s="3">
        <f t="shared" si="0"/>
        <v>0</v>
      </c>
      <c r="J18" s="3"/>
      <c r="K18" s="3"/>
      <c r="L18" s="8">
        <v>40000</v>
      </c>
      <c r="M18" s="13" t="s">
        <v>176</v>
      </c>
      <c r="N18" s="229"/>
      <c r="O18" s="9">
        <v>40000</v>
      </c>
      <c r="P18" s="8"/>
      <c r="Q18" s="8">
        <f t="shared" si="1"/>
        <v>4100</v>
      </c>
      <c r="R18" s="8"/>
      <c r="S18" s="8">
        <v>4100</v>
      </c>
      <c r="T18" s="8"/>
      <c r="U18" s="8"/>
      <c r="V18" s="8"/>
      <c r="W18" s="8"/>
    </row>
    <row r="19" spans="1:23" s="35" customFormat="1" ht="30" x14ac:dyDescent="0.25">
      <c r="A19" s="234">
        <v>8</v>
      </c>
      <c r="B19" s="13" t="s">
        <v>177</v>
      </c>
      <c r="C19" s="228">
        <v>0</v>
      </c>
      <c r="D19" s="13">
        <v>10000</v>
      </c>
      <c r="E19" s="228">
        <v>0</v>
      </c>
      <c r="F19" s="13">
        <v>10000</v>
      </c>
      <c r="G19" s="228">
        <f t="shared" si="3"/>
        <v>0</v>
      </c>
      <c r="H19" s="8">
        <v>0</v>
      </c>
      <c r="I19" s="3">
        <f t="shared" si="0"/>
        <v>0</v>
      </c>
      <c r="J19" s="3"/>
      <c r="K19" s="3"/>
      <c r="L19" s="8">
        <v>10000</v>
      </c>
      <c r="M19" s="13" t="s">
        <v>178</v>
      </c>
      <c r="N19" s="229"/>
      <c r="O19" s="9">
        <v>10000</v>
      </c>
      <c r="P19" s="8"/>
      <c r="Q19" s="8">
        <f t="shared" si="1"/>
        <v>0</v>
      </c>
      <c r="R19" s="8"/>
      <c r="S19" s="8"/>
      <c r="T19" s="8"/>
      <c r="U19" s="8">
        <f t="shared" si="2"/>
        <v>0</v>
      </c>
      <c r="V19" s="8"/>
      <c r="W19" s="8"/>
    </row>
    <row r="20" spans="1:23" s="35" customFormat="1" ht="30" x14ac:dyDescent="0.25">
      <c r="A20" s="234">
        <v>9</v>
      </c>
      <c r="B20" s="13" t="s">
        <v>179</v>
      </c>
      <c r="C20" s="228">
        <v>0</v>
      </c>
      <c r="D20" s="13"/>
      <c r="E20" s="228">
        <v>0</v>
      </c>
      <c r="F20" s="13"/>
      <c r="G20" s="228">
        <f t="shared" si="3"/>
        <v>0</v>
      </c>
      <c r="H20" s="8">
        <v>0</v>
      </c>
      <c r="I20" s="3">
        <f t="shared" si="0"/>
        <v>0</v>
      </c>
      <c r="J20" s="3"/>
      <c r="K20" s="3"/>
      <c r="L20" s="8">
        <v>10000</v>
      </c>
      <c r="M20" s="13" t="s">
        <v>179</v>
      </c>
      <c r="N20" s="229"/>
      <c r="O20" s="9">
        <v>10000</v>
      </c>
      <c r="P20" s="8"/>
      <c r="Q20" s="8">
        <f t="shared" si="1"/>
        <v>0</v>
      </c>
      <c r="R20" s="8"/>
      <c r="S20" s="8"/>
      <c r="T20" s="8"/>
      <c r="U20" s="8">
        <f t="shared" si="2"/>
        <v>0</v>
      </c>
      <c r="V20" s="8"/>
      <c r="W20" s="8"/>
    </row>
    <row r="21" spans="1:23" s="35" customFormat="1" ht="30" x14ac:dyDescent="0.25">
      <c r="A21" s="234">
        <v>10</v>
      </c>
      <c r="B21" s="13" t="s">
        <v>180</v>
      </c>
      <c r="C21" s="228">
        <v>0</v>
      </c>
      <c r="D21" s="13"/>
      <c r="E21" s="228">
        <v>0</v>
      </c>
      <c r="F21" s="13"/>
      <c r="G21" s="228">
        <f t="shared" si="3"/>
        <v>0</v>
      </c>
      <c r="H21" s="8">
        <v>0</v>
      </c>
      <c r="I21" s="3">
        <f t="shared" si="0"/>
        <v>0</v>
      </c>
      <c r="J21" s="3"/>
      <c r="K21" s="3"/>
      <c r="L21" s="8">
        <v>23000</v>
      </c>
      <c r="M21" s="13" t="s">
        <v>180</v>
      </c>
      <c r="N21" s="229"/>
      <c r="O21" s="9">
        <v>23000</v>
      </c>
      <c r="P21" s="8"/>
      <c r="Q21" s="8">
        <f t="shared" si="1"/>
        <v>0</v>
      </c>
      <c r="R21" s="8"/>
      <c r="S21" s="8"/>
      <c r="T21" s="8"/>
      <c r="U21" s="8">
        <f t="shared" si="2"/>
        <v>0</v>
      </c>
      <c r="V21" s="8"/>
      <c r="W21" s="8"/>
    </row>
    <row r="22" spans="1:23" s="35" customFormat="1" ht="30" x14ac:dyDescent="0.25">
      <c r="A22" s="234">
        <v>11</v>
      </c>
      <c r="B22" s="13" t="s">
        <v>181</v>
      </c>
      <c r="C22" s="228">
        <v>0</v>
      </c>
      <c r="D22" s="13"/>
      <c r="E22" s="228">
        <v>0</v>
      </c>
      <c r="F22" s="13"/>
      <c r="G22" s="228">
        <f t="shared" si="3"/>
        <v>0</v>
      </c>
      <c r="H22" s="8">
        <v>0</v>
      </c>
      <c r="I22" s="3">
        <f t="shared" si="0"/>
        <v>0</v>
      </c>
      <c r="J22" s="3"/>
      <c r="K22" s="3"/>
      <c r="L22" s="8">
        <v>77000</v>
      </c>
      <c r="M22" s="13" t="s">
        <v>181</v>
      </c>
      <c r="N22" s="229"/>
      <c r="O22" s="9">
        <v>77000</v>
      </c>
      <c r="P22" s="8"/>
      <c r="Q22" s="8">
        <f t="shared" si="1"/>
        <v>0</v>
      </c>
      <c r="R22" s="8"/>
      <c r="S22" s="8"/>
      <c r="T22" s="8"/>
      <c r="U22" s="8">
        <f t="shared" si="2"/>
        <v>0</v>
      </c>
      <c r="V22" s="8"/>
      <c r="W22" s="8"/>
    </row>
    <row r="23" spans="1:23" s="35" customFormat="1" ht="60" x14ac:dyDescent="0.25">
      <c r="A23" s="234">
        <v>12</v>
      </c>
      <c r="B23" s="13" t="s">
        <v>408</v>
      </c>
      <c r="C23" s="228">
        <v>0</v>
      </c>
      <c r="D23" s="13">
        <v>80000</v>
      </c>
      <c r="E23" s="228">
        <v>0</v>
      </c>
      <c r="F23" s="13">
        <v>75965</v>
      </c>
      <c r="G23" s="228">
        <f>H23+I23</f>
        <v>0</v>
      </c>
      <c r="H23" s="8"/>
      <c r="I23" s="3"/>
      <c r="J23" s="3"/>
      <c r="K23" s="3"/>
      <c r="L23" s="8"/>
      <c r="M23" s="13"/>
      <c r="N23" s="70"/>
      <c r="O23" s="70"/>
      <c r="P23" s="8"/>
      <c r="Q23" s="8"/>
      <c r="R23" s="8"/>
      <c r="S23" s="8"/>
      <c r="T23" s="8"/>
      <c r="U23" s="8"/>
      <c r="V23" s="8"/>
      <c r="W23" s="8"/>
    </row>
    <row r="24" spans="1:23" s="35" customFormat="1" ht="30" x14ac:dyDescent="0.25">
      <c r="A24" s="234">
        <v>13</v>
      </c>
      <c r="B24" s="13" t="s">
        <v>409</v>
      </c>
      <c r="C24" s="228">
        <v>0</v>
      </c>
      <c r="D24" s="13">
        <v>25000</v>
      </c>
      <c r="E24" s="228">
        <v>0</v>
      </c>
      <c r="F24" s="13">
        <v>25000</v>
      </c>
      <c r="G24" s="228">
        <f>H24+I24</f>
        <v>0</v>
      </c>
      <c r="H24" s="8"/>
      <c r="I24" s="3"/>
      <c r="J24" s="3"/>
      <c r="K24" s="3"/>
      <c r="L24" s="8"/>
      <c r="M24" s="13"/>
      <c r="N24" s="70"/>
      <c r="O24" s="70"/>
      <c r="P24" s="8"/>
      <c r="Q24" s="8"/>
      <c r="R24" s="8"/>
      <c r="S24" s="8"/>
      <c r="T24" s="8"/>
      <c r="U24" s="8"/>
      <c r="V24" s="8"/>
      <c r="W24" s="8"/>
    </row>
    <row r="25" spans="1:23" s="35" customFormat="1" ht="15.6" x14ac:dyDescent="0.3">
      <c r="A25" s="234"/>
      <c r="B25" s="13"/>
      <c r="C25" s="228"/>
      <c r="D25" s="13"/>
      <c r="E25" s="228"/>
      <c r="F25" s="13"/>
      <c r="G25" s="228"/>
      <c r="H25" s="8"/>
      <c r="I25" s="3"/>
      <c r="J25" s="3"/>
      <c r="K25" s="3"/>
      <c r="L25" s="8"/>
      <c r="M25" s="13"/>
      <c r="N25" s="70"/>
      <c r="O25" s="70"/>
      <c r="P25" s="8"/>
      <c r="Q25" s="8"/>
      <c r="R25" s="8"/>
      <c r="S25" s="8"/>
      <c r="T25" s="8"/>
      <c r="U25" s="8"/>
      <c r="V25" s="8"/>
      <c r="W25" s="8"/>
    </row>
    <row r="26" spans="1:23" s="35" customFormat="1" ht="15.75" x14ac:dyDescent="0.25">
      <c r="A26" s="237"/>
      <c r="B26" s="15" t="s">
        <v>14</v>
      </c>
      <c r="C26" s="15">
        <f>SUM(C12:C24)</f>
        <v>0</v>
      </c>
      <c r="D26" s="15">
        <f t="shared" ref="D26:F26" si="4">SUM(D12:D24)</f>
        <v>377400</v>
      </c>
      <c r="E26" s="15">
        <f t="shared" si="4"/>
        <v>0</v>
      </c>
      <c r="F26" s="15">
        <f t="shared" si="4"/>
        <v>276365</v>
      </c>
      <c r="G26" s="230">
        <f t="shared" si="3"/>
        <v>306000</v>
      </c>
      <c r="H26" s="16">
        <f>SUM(H12:H22)</f>
        <v>0</v>
      </c>
      <c r="I26" s="16">
        <f>SUM(I12:I22)</f>
        <v>306000</v>
      </c>
      <c r="J26" s="16">
        <f>SUM(J12:J22)</f>
        <v>0</v>
      </c>
      <c r="K26" s="16">
        <f>SUM(K12:K22)</f>
        <v>306000</v>
      </c>
      <c r="L26" s="16">
        <f>SUM(L12:L22)</f>
        <v>161400</v>
      </c>
      <c r="M26" s="16">
        <f t="shared" ref="M26:N26" si="5">SUM(M12:M22)</f>
        <v>0</v>
      </c>
      <c r="N26" s="18">
        <f t="shared" si="5"/>
        <v>0</v>
      </c>
      <c r="O26" s="18">
        <f>SUM(O12:O22)</f>
        <v>161400</v>
      </c>
      <c r="P26" s="16">
        <f t="shared" ref="P26:W26" si="6">SUM(P12:P22)</f>
        <v>0</v>
      </c>
      <c r="Q26" s="16">
        <f t="shared" si="6"/>
        <v>310100</v>
      </c>
      <c r="R26" s="16">
        <f t="shared" si="6"/>
        <v>0</v>
      </c>
      <c r="S26" s="16">
        <f t="shared" si="6"/>
        <v>310100</v>
      </c>
      <c r="T26" s="16">
        <f t="shared" si="6"/>
        <v>0</v>
      </c>
      <c r="U26" s="16">
        <f t="shared" si="6"/>
        <v>304600</v>
      </c>
      <c r="V26" s="16">
        <f t="shared" si="6"/>
        <v>0</v>
      </c>
      <c r="W26" s="16">
        <f t="shared" si="6"/>
        <v>304600</v>
      </c>
    </row>
  </sheetData>
  <customSheetViews>
    <customSheetView guid="{F55D2626-B25D-4865-88D7-A4040A583D45}" showPageBreaks="1" fitToPage="1" topLeftCell="H1">
      <pane ySplit="11" topLeftCell="A18" activePane="bottomLeft" state="frozen"/>
      <selection pane="bottomLeft" activeCell="N26" sqref="N26:O26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D1">
      <pane ySplit="11" topLeftCell="A18" activePane="bottomLeft" state="frozen"/>
      <selection pane="bottomLeft" activeCell="O19" sqref="O19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howPageBreaks="1" fitToPage="1">
      <pane ySplit="11" topLeftCell="A15" activePane="bottomLeft" state="frozen"/>
      <selection pane="bottomLeft" activeCell="A11" sqref="A11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H17" sqref="H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N23" sqref="N2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H17" sqref="H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21" activePane="bottomLeft" state="frozen"/>
      <selection pane="bottomLeft" activeCell="D19" sqref="D19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N6:N10"/>
    <mergeCell ref="O6:O10"/>
    <mergeCell ref="J9:J10"/>
    <mergeCell ref="K9:K10"/>
    <mergeCell ref="R9:R10"/>
    <mergeCell ref="L8:L10"/>
    <mergeCell ref="M8:M10"/>
    <mergeCell ref="S9:S10"/>
    <mergeCell ref="V9:V10"/>
    <mergeCell ref="P7:P10"/>
    <mergeCell ref="Q7:S7"/>
    <mergeCell ref="T7:T10"/>
    <mergeCell ref="U7:W7"/>
    <mergeCell ref="R8:S8"/>
    <mergeCell ref="Q8:Q10"/>
    <mergeCell ref="U8:U10"/>
    <mergeCell ref="V8:W8"/>
    <mergeCell ref="W9:W10"/>
    <mergeCell ref="G6:G10"/>
    <mergeCell ref="C6:F6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</mergeCells>
  <pageMargins left="0.31496062992125984" right="0.31496062992125984" top="0.35433070866141736" bottom="0.35433070866141736" header="0.31496062992125984" footer="0.31496062992125984"/>
  <pageSetup paperSize="9" scale="29" fitToHeight="2" orientation="landscape" verticalDpi="180" r:id="rId1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R38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7" width="19.5703125" style="2" customWidth="1"/>
    <col min="8" max="8" width="56.42578125" style="2" customWidth="1"/>
    <col min="9" max="11" width="19.5703125" style="2" customWidth="1"/>
    <col min="12" max="12" width="17.5703125" style="2" customWidth="1"/>
    <col min="13" max="16" width="19.5703125" style="2" customWidth="1"/>
    <col min="17" max="18" width="9.140625" style="19"/>
    <col min="19" max="16384" width="9.140625" style="2"/>
  </cols>
  <sheetData>
    <row r="2" spans="1:16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6" customHeight="1" x14ac:dyDescent="0.3"/>
    <row r="4" spans="1:16" s="19" customFormat="1" ht="42.75" customHeight="1" x14ac:dyDescent="0.25">
      <c r="A4" s="333" t="s">
        <v>151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</row>
    <row r="5" spans="1:16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0"/>
      <c r="J5" s="20"/>
      <c r="K5" s="20"/>
      <c r="L5" s="20"/>
      <c r="M5" s="20"/>
      <c r="N5" s="20"/>
      <c r="O5" s="20"/>
      <c r="P5" s="20"/>
    </row>
    <row r="6" spans="1:16" s="19" customFormat="1" ht="33.75" customHeight="1" x14ac:dyDescent="0.25">
      <c r="A6" s="270" t="s">
        <v>0</v>
      </c>
      <c r="B6" s="271" t="s">
        <v>28</v>
      </c>
      <c r="C6" s="292" t="s">
        <v>21</v>
      </c>
      <c r="D6" s="293"/>
      <c r="E6" s="293"/>
      <c r="F6" s="293"/>
      <c r="G6" s="293"/>
      <c r="H6" s="294"/>
      <c r="I6" s="277" t="s">
        <v>22</v>
      </c>
      <c r="J6" s="277"/>
      <c r="K6" s="277"/>
      <c r="L6" s="277"/>
      <c r="M6" s="277" t="s">
        <v>41</v>
      </c>
      <c r="N6" s="277"/>
      <c r="O6" s="277"/>
      <c r="P6" s="277"/>
    </row>
    <row r="7" spans="1:16" s="19" customFormat="1" ht="47.25" customHeight="1" x14ac:dyDescent="0.25">
      <c r="A7" s="270"/>
      <c r="B7" s="271"/>
      <c r="C7" s="283" t="s">
        <v>8</v>
      </c>
      <c r="D7" s="274" t="s">
        <v>23</v>
      </c>
      <c r="E7" s="275"/>
      <c r="F7" s="275"/>
      <c r="G7" s="271" t="s">
        <v>24</v>
      </c>
      <c r="H7" s="271"/>
      <c r="I7" s="271" t="s">
        <v>8</v>
      </c>
      <c r="J7" s="274" t="s">
        <v>23</v>
      </c>
      <c r="K7" s="275"/>
      <c r="L7" s="275"/>
      <c r="M7" s="271" t="s">
        <v>8</v>
      </c>
      <c r="N7" s="276" t="s">
        <v>23</v>
      </c>
      <c r="O7" s="276"/>
      <c r="P7" s="276"/>
    </row>
    <row r="8" spans="1:16" s="19" customFormat="1" ht="18.75" customHeight="1" x14ac:dyDescent="0.25">
      <c r="A8" s="270"/>
      <c r="B8" s="271"/>
      <c r="C8" s="283"/>
      <c r="D8" s="271" t="s">
        <v>15</v>
      </c>
      <c r="E8" s="276" t="s">
        <v>16</v>
      </c>
      <c r="F8" s="276"/>
      <c r="G8" s="288" t="s">
        <v>9</v>
      </c>
      <c r="H8" s="272" t="s">
        <v>20</v>
      </c>
      <c r="I8" s="271"/>
      <c r="J8" s="271" t="s">
        <v>15</v>
      </c>
      <c r="K8" s="276" t="s">
        <v>16</v>
      </c>
      <c r="L8" s="276"/>
      <c r="M8" s="271"/>
      <c r="N8" s="271" t="s">
        <v>15</v>
      </c>
      <c r="O8" s="276" t="s">
        <v>16</v>
      </c>
      <c r="P8" s="276"/>
    </row>
    <row r="9" spans="1:16" s="19" customFormat="1" ht="39.75" customHeight="1" x14ac:dyDescent="0.25">
      <c r="A9" s="270"/>
      <c r="B9" s="271"/>
      <c r="C9" s="283"/>
      <c r="D9" s="271"/>
      <c r="E9" s="271" t="s">
        <v>17</v>
      </c>
      <c r="F9" s="272" t="s">
        <v>18</v>
      </c>
      <c r="G9" s="289"/>
      <c r="H9" s="284"/>
      <c r="I9" s="271"/>
      <c r="J9" s="271"/>
      <c r="K9" s="271" t="s">
        <v>17</v>
      </c>
      <c r="L9" s="272" t="s">
        <v>18</v>
      </c>
      <c r="M9" s="271"/>
      <c r="N9" s="271"/>
      <c r="O9" s="271" t="s">
        <v>17</v>
      </c>
      <c r="P9" s="272" t="s">
        <v>18</v>
      </c>
    </row>
    <row r="10" spans="1:16" s="19" customFormat="1" ht="37.5" customHeight="1" x14ac:dyDescent="0.25">
      <c r="A10" s="270"/>
      <c r="B10" s="271"/>
      <c r="C10" s="283"/>
      <c r="D10" s="271"/>
      <c r="E10" s="271"/>
      <c r="F10" s="273"/>
      <c r="G10" s="290"/>
      <c r="H10" s="273"/>
      <c r="I10" s="271"/>
      <c r="J10" s="271"/>
      <c r="K10" s="271"/>
      <c r="L10" s="273"/>
      <c r="M10" s="271"/>
      <c r="N10" s="271"/>
      <c r="O10" s="271"/>
      <c r="P10" s="273"/>
    </row>
    <row r="11" spans="1:16" s="245" customFormat="1" ht="16.5" customHeight="1" x14ac:dyDescent="0.3">
      <c r="A11" s="233">
        <v>1</v>
      </c>
      <c r="B11" s="238">
        <v>2</v>
      </c>
      <c r="C11" s="244">
        <v>3</v>
      </c>
      <c r="D11" s="233">
        <v>4</v>
      </c>
      <c r="E11" s="238">
        <v>5</v>
      </c>
      <c r="F11" s="244">
        <v>6</v>
      </c>
      <c r="G11" s="238">
        <v>7</v>
      </c>
      <c r="H11" s="244">
        <v>8</v>
      </c>
      <c r="I11" s="244">
        <v>9</v>
      </c>
      <c r="J11" s="233">
        <v>10</v>
      </c>
      <c r="K11" s="238">
        <v>11</v>
      </c>
      <c r="L11" s="244">
        <v>12</v>
      </c>
      <c r="M11" s="244">
        <v>13</v>
      </c>
      <c r="N11" s="233">
        <v>14</v>
      </c>
      <c r="O11" s="238">
        <v>15</v>
      </c>
      <c r="P11" s="244">
        <v>16</v>
      </c>
    </row>
    <row r="12" spans="1:16" s="25" customFormat="1" ht="45" x14ac:dyDescent="0.25">
      <c r="A12" s="241">
        <v>1</v>
      </c>
      <c r="B12" s="22" t="s">
        <v>42</v>
      </c>
      <c r="C12" s="23">
        <f>C14+C15+C16+C17+C18</f>
        <v>0</v>
      </c>
      <c r="D12" s="23">
        <f>E12+F12</f>
        <v>0</v>
      </c>
      <c r="E12" s="23">
        <f t="shared" ref="E12:P12" si="0">E14+E15+E16+E17+E18</f>
        <v>0</v>
      </c>
      <c r="F12" s="23">
        <f t="shared" si="0"/>
        <v>0</v>
      </c>
      <c r="G12" s="23">
        <f t="shared" si="0"/>
        <v>0</v>
      </c>
      <c r="H12" s="24"/>
      <c r="I12" s="23">
        <f t="shared" si="0"/>
        <v>0</v>
      </c>
      <c r="J12" s="23">
        <f>K12+L12</f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>O12+P12</f>
        <v>0</v>
      </c>
      <c r="O12" s="23">
        <f t="shared" si="0"/>
        <v>0</v>
      </c>
      <c r="P12" s="23">
        <f t="shared" si="0"/>
        <v>0</v>
      </c>
    </row>
    <row r="13" spans="1:16" s="25" customFormat="1" x14ac:dyDescent="0.25">
      <c r="A13" s="242"/>
      <c r="B13" s="27" t="s">
        <v>1</v>
      </c>
      <c r="C13" s="23"/>
      <c r="D13" s="23">
        <f t="shared" ref="D13:D18" si="1">E13+F13</f>
        <v>0</v>
      </c>
      <c r="E13" s="23"/>
      <c r="F13" s="23"/>
      <c r="G13" s="23"/>
      <c r="H13" s="24"/>
      <c r="I13" s="23"/>
      <c r="J13" s="23">
        <f t="shared" ref="J13:J18" si="2">K13+L13</f>
        <v>0</v>
      </c>
      <c r="K13" s="23"/>
      <c r="L13" s="23"/>
      <c r="M13" s="23"/>
      <c r="N13" s="23">
        <f t="shared" ref="N13:N18" si="3">O13+P13</f>
        <v>0</v>
      </c>
      <c r="O13" s="23"/>
      <c r="P13" s="23"/>
    </row>
    <row r="14" spans="1:16" s="29" customFormat="1" x14ac:dyDescent="0.25">
      <c r="A14" s="243" t="s">
        <v>4</v>
      </c>
      <c r="B14" s="28" t="s">
        <v>2</v>
      </c>
      <c r="C14" s="23"/>
      <c r="D14" s="23">
        <f t="shared" si="1"/>
        <v>0</v>
      </c>
      <c r="E14" s="23"/>
      <c r="F14" s="23"/>
      <c r="G14" s="23"/>
      <c r="H14" s="24"/>
      <c r="I14" s="23"/>
      <c r="J14" s="23">
        <f t="shared" si="2"/>
        <v>0</v>
      </c>
      <c r="K14" s="23"/>
      <c r="L14" s="23"/>
      <c r="M14" s="23"/>
      <c r="N14" s="23">
        <f t="shared" si="3"/>
        <v>0</v>
      </c>
      <c r="O14" s="23"/>
      <c r="P14" s="23"/>
    </row>
    <row r="15" spans="1:16" s="29" customFormat="1" ht="30" x14ac:dyDescent="0.25">
      <c r="A15" s="243" t="s">
        <v>5</v>
      </c>
      <c r="B15" s="30" t="s">
        <v>10</v>
      </c>
      <c r="C15" s="23"/>
      <c r="D15" s="23">
        <f t="shared" si="1"/>
        <v>0</v>
      </c>
      <c r="E15" s="23"/>
      <c r="F15" s="23"/>
      <c r="G15" s="23"/>
      <c r="H15" s="28"/>
      <c r="I15" s="23"/>
      <c r="J15" s="23">
        <f t="shared" si="2"/>
        <v>0</v>
      </c>
      <c r="K15" s="23"/>
      <c r="L15" s="23"/>
      <c r="M15" s="23"/>
      <c r="N15" s="23">
        <f t="shared" si="3"/>
        <v>0</v>
      </c>
      <c r="O15" s="23"/>
      <c r="P15" s="23"/>
    </row>
    <row r="16" spans="1:16" s="29" customFormat="1" ht="30" x14ac:dyDescent="0.25">
      <c r="A16" s="243" t="s">
        <v>6</v>
      </c>
      <c r="B16" s="30" t="s">
        <v>11</v>
      </c>
      <c r="C16" s="23"/>
      <c r="D16" s="23">
        <f t="shared" si="1"/>
        <v>0</v>
      </c>
      <c r="E16" s="23"/>
      <c r="F16" s="23"/>
      <c r="G16" s="23"/>
      <c r="H16" s="28"/>
      <c r="I16" s="23"/>
      <c r="J16" s="23">
        <f t="shared" si="2"/>
        <v>0</v>
      </c>
      <c r="K16" s="23"/>
      <c r="L16" s="23"/>
      <c r="M16" s="23"/>
      <c r="N16" s="23">
        <f t="shared" si="3"/>
        <v>0</v>
      </c>
      <c r="O16" s="23"/>
      <c r="P16" s="23"/>
    </row>
    <row r="17" spans="1:16" s="29" customFormat="1" ht="30" x14ac:dyDescent="0.25">
      <c r="A17" s="243" t="s">
        <v>7</v>
      </c>
      <c r="B17" s="30" t="s">
        <v>13</v>
      </c>
      <c r="C17" s="31"/>
      <c r="D17" s="23">
        <f t="shared" si="1"/>
        <v>0</v>
      </c>
      <c r="E17" s="31"/>
      <c r="F17" s="31"/>
      <c r="G17" s="31"/>
      <c r="H17" s="32"/>
      <c r="I17" s="31"/>
      <c r="J17" s="23">
        <f t="shared" si="2"/>
        <v>0</v>
      </c>
      <c r="K17" s="31"/>
      <c r="L17" s="31"/>
      <c r="M17" s="31"/>
      <c r="N17" s="23">
        <f t="shared" si="3"/>
        <v>0</v>
      </c>
      <c r="O17" s="31"/>
      <c r="P17" s="31"/>
    </row>
    <row r="18" spans="1:16" s="29" customFormat="1" ht="30" x14ac:dyDescent="0.25">
      <c r="A18" s="243" t="s">
        <v>12</v>
      </c>
      <c r="B18" s="30" t="s">
        <v>3</v>
      </c>
      <c r="C18" s="23"/>
      <c r="D18" s="23">
        <f t="shared" si="1"/>
        <v>0</v>
      </c>
      <c r="E18" s="23"/>
      <c r="F18" s="23"/>
      <c r="G18" s="23"/>
      <c r="H18" s="33"/>
      <c r="I18" s="23"/>
      <c r="J18" s="23">
        <f t="shared" si="2"/>
        <v>0</v>
      </c>
      <c r="K18" s="23"/>
      <c r="L18" s="23"/>
      <c r="M18" s="23"/>
      <c r="N18" s="23">
        <f t="shared" si="3"/>
        <v>0</v>
      </c>
      <c r="O18" s="23"/>
      <c r="P18" s="23"/>
    </row>
    <row r="19" spans="1:16" s="29" customFormat="1" ht="30" x14ac:dyDescent="0.25">
      <c r="A19" s="241">
        <v>2</v>
      </c>
      <c r="B19" s="22" t="s">
        <v>147</v>
      </c>
      <c r="C19" s="23">
        <f>C21+C22+C23+C24+C25</f>
        <v>0</v>
      </c>
      <c r="D19" s="23">
        <f>E19+F19</f>
        <v>0</v>
      </c>
      <c r="E19" s="23">
        <f t="shared" ref="E19:G19" si="4">E21+E22+E23+E24+E25</f>
        <v>0</v>
      </c>
      <c r="F19" s="23">
        <f t="shared" si="4"/>
        <v>0</v>
      </c>
      <c r="G19" s="23">
        <f t="shared" si="4"/>
        <v>0</v>
      </c>
      <c r="H19" s="24"/>
      <c r="I19" s="23">
        <f t="shared" ref="I19" si="5">I21+I22+I23+I24+I25</f>
        <v>0</v>
      </c>
      <c r="J19" s="23">
        <f>K19+L19</f>
        <v>0</v>
      </c>
      <c r="K19" s="23">
        <f t="shared" ref="K19:M19" si="6">K21+K22+K23+K24+K25</f>
        <v>0</v>
      </c>
      <c r="L19" s="23">
        <f t="shared" si="6"/>
        <v>0</v>
      </c>
      <c r="M19" s="23">
        <f t="shared" si="6"/>
        <v>0</v>
      </c>
      <c r="N19" s="23">
        <f>O19+P19</f>
        <v>0</v>
      </c>
      <c r="O19" s="23">
        <f t="shared" ref="O19:P19" si="7">O21+O22+O23+O24+O25</f>
        <v>0</v>
      </c>
      <c r="P19" s="23">
        <f t="shared" si="7"/>
        <v>0</v>
      </c>
    </row>
    <row r="20" spans="1:16" s="25" customFormat="1" x14ac:dyDescent="0.25">
      <c r="A20" s="242"/>
      <c r="B20" s="27" t="s">
        <v>1</v>
      </c>
      <c r="C20" s="23"/>
      <c r="D20" s="23">
        <f t="shared" ref="D20:D37" si="8">E20+F20</f>
        <v>0</v>
      </c>
      <c r="E20" s="23"/>
      <c r="F20" s="23"/>
      <c r="G20" s="23"/>
      <c r="H20" s="24"/>
      <c r="I20" s="23"/>
      <c r="J20" s="23">
        <f t="shared" ref="J20:J37" si="9">K20+L20</f>
        <v>0</v>
      </c>
      <c r="K20" s="23"/>
      <c r="L20" s="23"/>
      <c r="M20" s="23"/>
      <c r="N20" s="23">
        <f t="shared" ref="N20:N37" si="10">O20+P20</f>
        <v>0</v>
      </c>
      <c r="O20" s="23"/>
      <c r="P20" s="23"/>
    </row>
    <row r="21" spans="1:16" s="25" customFormat="1" x14ac:dyDescent="0.25">
      <c r="A21" s="243" t="s">
        <v>4</v>
      </c>
      <c r="B21" s="28" t="s">
        <v>2</v>
      </c>
      <c r="C21" s="23"/>
      <c r="D21" s="23">
        <f t="shared" si="8"/>
        <v>0</v>
      </c>
      <c r="E21" s="23"/>
      <c r="F21" s="23"/>
      <c r="G21" s="23"/>
      <c r="H21" s="24"/>
      <c r="I21" s="23"/>
      <c r="J21" s="23">
        <f t="shared" si="9"/>
        <v>0</v>
      </c>
      <c r="K21" s="23"/>
      <c r="L21" s="23"/>
      <c r="M21" s="23"/>
      <c r="N21" s="23">
        <f t="shared" si="10"/>
        <v>0</v>
      </c>
      <c r="O21" s="23"/>
      <c r="P21" s="23"/>
    </row>
    <row r="22" spans="1:16" s="25" customFormat="1" ht="53.45" customHeight="1" x14ac:dyDescent="0.25">
      <c r="A22" s="243" t="s">
        <v>5</v>
      </c>
      <c r="B22" s="30" t="s">
        <v>10</v>
      </c>
      <c r="C22" s="23"/>
      <c r="D22" s="23">
        <f t="shared" si="8"/>
        <v>0</v>
      </c>
      <c r="E22" s="23"/>
      <c r="F22" s="23"/>
      <c r="G22" s="23"/>
      <c r="H22" s="28"/>
      <c r="I22" s="23"/>
      <c r="J22" s="23">
        <f t="shared" si="9"/>
        <v>0</v>
      </c>
      <c r="K22" s="23"/>
      <c r="L22" s="23"/>
      <c r="M22" s="23"/>
      <c r="N22" s="23">
        <f t="shared" si="10"/>
        <v>0</v>
      </c>
      <c r="O22" s="23"/>
      <c r="P22" s="23"/>
    </row>
    <row r="23" spans="1:16" s="29" customFormat="1" ht="30" x14ac:dyDescent="0.25">
      <c r="A23" s="243" t="s">
        <v>6</v>
      </c>
      <c r="B23" s="30" t="s">
        <v>11</v>
      </c>
      <c r="C23" s="23"/>
      <c r="D23" s="23">
        <f t="shared" si="8"/>
        <v>0</v>
      </c>
      <c r="E23" s="23"/>
      <c r="F23" s="23"/>
      <c r="G23" s="23"/>
      <c r="H23" s="28"/>
      <c r="I23" s="23"/>
      <c r="J23" s="23">
        <f t="shared" si="9"/>
        <v>0</v>
      </c>
      <c r="K23" s="23"/>
      <c r="L23" s="23"/>
      <c r="M23" s="23"/>
      <c r="N23" s="23">
        <f t="shared" si="10"/>
        <v>0</v>
      </c>
      <c r="O23" s="23"/>
      <c r="P23" s="23"/>
    </row>
    <row r="24" spans="1:16" s="29" customFormat="1" ht="30" x14ac:dyDescent="0.25">
      <c r="A24" s="243" t="s">
        <v>7</v>
      </c>
      <c r="B24" s="30" t="s">
        <v>13</v>
      </c>
      <c r="C24" s="31"/>
      <c r="D24" s="23">
        <f t="shared" si="8"/>
        <v>0</v>
      </c>
      <c r="E24" s="31"/>
      <c r="F24" s="31"/>
      <c r="G24" s="31"/>
      <c r="H24" s="33"/>
      <c r="I24" s="31"/>
      <c r="J24" s="23">
        <f t="shared" si="9"/>
        <v>0</v>
      </c>
      <c r="K24" s="31"/>
      <c r="L24" s="31"/>
      <c r="M24" s="31"/>
      <c r="N24" s="23">
        <f t="shared" si="10"/>
        <v>0</v>
      </c>
      <c r="O24" s="31"/>
      <c r="P24" s="31"/>
    </row>
    <row r="25" spans="1:16" s="29" customFormat="1" ht="30" x14ac:dyDescent="0.25">
      <c r="A25" s="243" t="s">
        <v>12</v>
      </c>
      <c r="B25" s="30" t="s">
        <v>3</v>
      </c>
      <c r="C25" s="23"/>
      <c r="D25" s="23">
        <f t="shared" si="8"/>
        <v>0</v>
      </c>
      <c r="E25" s="23"/>
      <c r="F25" s="23"/>
      <c r="G25" s="23"/>
      <c r="H25" s="33"/>
      <c r="I25" s="23"/>
      <c r="J25" s="23">
        <f t="shared" si="9"/>
        <v>0</v>
      </c>
      <c r="K25" s="23"/>
      <c r="L25" s="23"/>
      <c r="M25" s="23"/>
      <c r="N25" s="23">
        <f t="shared" si="10"/>
        <v>0</v>
      </c>
      <c r="O25" s="23"/>
      <c r="P25" s="23"/>
    </row>
    <row r="26" spans="1:16" s="11" customFormat="1" x14ac:dyDescent="0.25">
      <c r="A26" s="234">
        <v>3</v>
      </c>
      <c r="B26" s="13"/>
      <c r="C26" s="8"/>
      <c r="D26" s="8">
        <f t="shared" si="8"/>
        <v>0</v>
      </c>
      <c r="E26" s="8"/>
      <c r="F26" s="8"/>
      <c r="G26" s="8"/>
      <c r="H26" s="34"/>
      <c r="I26" s="8"/>
      <c r="J26" s="8">
        <f t="shared" si="9"/>
        <v>0</v>
      </c>
      <c r="K26" s="8"/>
      <c r="L26" s="8"/>
      <c r="M26" s="8"/>
      <c r="N26" s="8">
        <f t="shared" si="10"/>
        <v>0</v>
      </c>
      <c r="O26" s="8"/>
      <c r="P26" s="8"/>
    </row>
    <row r="27" spans="1:16" s="11" customFormat="1" x14ac:dyDescent="0.25">
      <c r="A27" s="234">
        <v>4</v>
      </c>
      <c r="B27" s="13"/>
      <c r="C27" s="8"/>
      <c r="D27" s="8">
        <f t="shared" si="8"/>
        <v>0</v>
      </c>
      <c r="E27" s="8"/>
      <c r="F27" s="8"/>
      <c r="G27" s="8"/>
      <c r="H27" s="34"/>
      <c r="I27" s="8"/>
      <c r="J27" s="8">
        <f t="shared" si="9"/>
        <v>0</v>
      </c>
      <c r="K27" s="8"/>
      <c r="L27" s="8"/>
      <c r="M27" s="8"/>
      <c r="N27" s="8">
        <f t="shared" si="10"/>
        <v>0</v>
      </c>
      <c r="O27" s="8"/>
      <c r="P27" s="8"/>
    </row>
    <row r="28" spans="1:16" s="11" customFormat="1" x14ac:dyDescent="0.25">
      <c r="A28" s="234">
        <v>5</v>
      </c>
      <c r="B28" s="13"/>
      <c r="C28" s="8"/>
      <c r="D28" s="8">
        <f t="shared" si="8"/>
        <v>0</v>
      </c>
      <c r="E28" s="8"/>
      <c r="F28" s="8"/>
      <c r="G28" s="8"/>
      <c r="H28" s="34"/>
      <c r="I28" s="8"/>
      <c r="J28" s="8">
        <f t="shared" si="9"/>
        <v>0</v>
      </c>
      <c r="K28" s="8"/>
      <c r="L28" s="8"/>
      <c r="M28" s="8"/>
      <c r="N28" s="8">
        <f t="shared" si="10"/>
        <v>0</v>
      </c>
      <c r="O28" s="8"/>
      <c r="P28" s="8"/>
    </row>
    <row r="29" spans="1:16" s="19" customFormat="1" x14ac:dyDescent="0.25">
      <c r="A29" s="234">
        <v>6</v>
      </c>
      <c r="B29" s="13"/>
      <c r="C29" s="8"/>
      <c r="D29" s="8">
        <f t="shared" si="8"/>
        <v>0</v>
      </c>
      <c r="E29" s="8"/>
      <c r="F29" s="8"/>
      <c r="G29" s="8"/>
      <c r="H29" s="13"/>
      <c r="I29" s="8"/>
      <c r="J29" s="8">
        <f t="shared" si="9"/>
        <v>0</v>
      </c>
      <c r="K29" s="8"/>
      <c r="L29" s="8"/>
      <c r="M29" s="8"/>
      <c r="N29" s="8">
        <f t="shared" si="10"/>
        <v>0</v>
      </c>
      <c r="O29" s="8"/>
      <c r="P29" s="8"/>
    </row>
    <row r="30" spans="1:16" s="19" customFormat="1" x14ac:dyDescent="0.25">
      <c r="A30" s="234">
        <v>7</v>
      </c>
      <c r="B30" s="13"/>
      <c r="C30" s="8"/>
      <c r="D30" s="8">
        <f t="shared" si="8"/>
        <v>0</v>
      </c>
      <c r="E30" s="8"/>
      <c r="F30" s="8"/>
      <c r="G30" s="8"/>
      <c r="H30" s="13"/>
      <c r="I30" s="8"/>
      <c r="J30" s="8">
        <f t="shared" si="9"/>
        <v>0</v>
      </c>
      <c r="K30" s="8"/>
      <c r="L30" s="8"/>
      <c r="M30" s="8"/>
      <c r="N30" s="8">
        <f t="shared" si="10"/>
        <v>0</v>
      </c>
      <c r="O30" s="8"/>
      <c r="P30" s="8"/>
    </row>
    <row r="31" spans="1:16" s="19" customFormat="1" x14ac:dyDescent="0.25">
      <c r="A31" s="234">
        <v>8</v>
      </c>
      <c r="B31" s="13"/>
      <c r="C31" s="8"/>
      <c r="D31" s="8">
        <f t="shared" si="8"/>
        <v>0</v>
      </c>
      <c r="E31" s="8"/>
      <c r="F31" s="8"/>
      <c r="G31" s="8"/>
      <c r="H31" s="13"/>
      <c r="I31" s="8"/>
      <c r="J31" s="8">
        <f t="shared" si="9"/>
        <v>0</v>
      </c>
      <c r="K31" s="8"/>
      <c r="L31" s="8"/>
      <c r="M31" s="8"/>
      <c r="N31" s="8">
        <f t="shared" si="10"/>
        <v>0</v>
      </c>
      <c r="O31" s="8"/>
      <c r="P31" s="8"/>
    </row>
    <row r="32" spans="1:16" s="19" customFormat="1" x14ac:dyDescent="0.25">
      <c r="A32" s="234">
        <v>9</v>
      </c>
      <c r="B32" s="13"/>
      <c r="C32" s="8"/>
      <c r="D32" s="8">
        <f t="shared" si="8"/>
        <v>0</v>
      </c>
      <c r="E32" s="8"/>
      <c r="F32" s="8"/>
      <c r="G32" s="8"/>
      <c r="H32" s="13"/>
      <c r="I32" s="8"/>
      <c r="J32" s="8">
        <f t="shared" si="9"/>
        <v>0</v>
      </c>
      <c r="K32" s="8"/>
      <c r="L32" s="8"/>
      <c r="M32" s="8"/>
      <c r="N32" s="8">
        <f t="shared" si="10"/>
        <v>0</v>
      </c>
      <c r="O32" s="8"/>
      <c r="P32" s="8"/>
    </row>
    <row r="33" spans="1:16" s="19" customFormat="1" x14ac:dyDescent="0.25">
      <c r="A33" s="234">
        <v>10</v>
      </c>
      <c r="B33" s="13"/>
      <c r="C33" s="8"/>
      <c r="D33" s="8">
        <f t="shared" si="8"/>
        <v>0</v>
      </c>
      <c r="E33" s="8"/>
      <c r="F33" s="8"/>
      <c r="G33" s="8"/>
      <c r="H33" s="13"/>
      <c r="I33" s="8"/>
      <c r="J33" s="8">
        <f t="shared" si="9"/>
        <v>0</v>
      </c>
      <c r="K33" s="8"/>
      <c r="L33" s="8"/>
      <c r="M33" s="8"/>
      <c r="N33" s="8">
        <f t="shared" si="10"/>
        <v>0</v>
      </c>
      <c r="O33" s="8"/>
      <c r="P33" s="8"/>
    </row>
    <row r="34" spans="1:16" s="19" customFormat="1" x14ac:dyDescent="0.25">
      <c r="A34" s="234">
        <v>11</v>
      </c>
      <c r="B34" s="13"/>
      <c r="C34" s="8"/>
      <c r="D34" s="8">
        <f t="shared" si="8"/>
        <v>0</v>
      </c>
      <c r="E34" s="8"/>
      <c r="F34" s="8"/>
      <c r="G34" s="8"/>
      <c r="H34" s="13"/>
      <c r="I34" s="8"/>
      <c r="J34" s="8">
        <f t="shared" si="9"/>
        <v>0</v>
      </c>
      <c r="K34" s="8"/>
      <c r="L34" s="8"/>
      <c r="M34" s="8"/>
      <c r="N34" s="8">
        <f t="shared" si="10"/>
        <v>0</v>
      </c>
      <c r="O34" s="8"/>
      <c r="P34" s="8"/>
    </row>
    <row r="35" spans="1:16" s="19" customFormat="1" x14ac:dyDescent="0.25">
      <c r="A35" s="234">
        <v>12</v>
      </c>
      <c r="B35" s="13"/>
      <c r="C35" s="8"/>
      <c r="D35" s="8">
        <f t="shared" si="8"/>
        <v>0</v>
      </c>
      <c r="E35" s="8"/>
      <c r="F35" s="8"/>
      <c r="G35" s="8"/>
      <c r="H35" s="13"/>
      <c r="I35" s="8"/>
      <c r="J35" s="8">
        <f t="shared" si="9"/>
        <v>0</v>
      </c>
      <c r="K35" s="8"/>
      <c r="L35" s="8"/>
      <c r="M35" s="8"/>
      <c r="N35" s="8">
        <f t="shared" si="10"/>
        <v>0</v>
      </c>
      <c r="O35" s="8"/>
      <c r="P35" s="8"/>
    </row>
    <row r="36" spans="1:16" s="19" customFormat="1" x14ac:dyDescent="0.25">
      <c r="A36" s="234">
        <v>13</v>
      </c>
      <c r="B36" s="13"/>
      <c r="C36" s="8"/>
      <c r="D36" s="8">
        <f t="shared" si="8"/>
        <v>0</v>
      </c>
      <c r="E36" s="8"/>
      <c r="F36" s="8"/>
      <c r="G36" s="8"/>
      <c r="H36" s="13"/>
      <c r="I36" s="8"/>
      <c r="J36" s="8">
        <f t="shared" si="9"/>
        <v>0</v>
      </c>
      <c r="K36" s="8"/>
      <c r="L36" s="8"/>
      <c r="M36" s="8"/>
      <c r="N36" s="8">
        <f t="shared" si="10"/>
        <v>0</v>
      </c>
      <c r="O36" s="8"/>
      <c r="P36" s="8"/>
    </row>
    <row r="37" spans="1:16" s="19" customFormat="1" ht="15.75" customHeight="1" x14ac:dyDescent="0.25">
      <c r="A37" s="234" t="s">
        <v>27</v>
      </c>
      <c r="B37" s="13"/>
      <c r="C37" s="8"/>
      <c r="D37" s="8">
        <f t="shared" si="8"/>
        <v>0</v>
      </c>
      <c r="E37" s="8"/>
      <c r="F37" s="8"/>
      <c r="G37" s="8"/>
      <c r="H37" s="13"/>
      <c r="I37" s="8"/>
      <c r="J37" s="8">
        <f t="shared" si="9"/>
        <v>0</v>
      </c>
      <c r="K37" s="8"/>
      <c r="L37" s="8"/>
      <c r="M37" s="8"/>
      <c r="N37" s="8">
        <f t="shared" si="10"/>
        <v>0</v>
      </c>
      <c r="O37" s="8"/>
      <c r="P37" s="8"/>
    </row>
    <row r="38" spans="1:16" s="1" customFormat="1" x14ac:dyDescent="0.25">
      <c r="A38" s="237"/>
      <c r="B38" s="15" t="s">
        <v>14</v>
      </c>
      <c r="C38" s="16">
        <f>SUM(C26:C37)+C19+C12</f>
        <v>0</v>
      </c>
      <c r="D38" s="16">
        <f t="shared" ref="D38:P38" si="11">SUM(D12:D22)</f>
        <v>0</v>
      </c>
      <c r="E38" s="16">
        <f t="shared" si="11"/>
        <v>0</v>
      </c>
      <c r="F38" s="16">
        <f t="shared" si="11"/>
        <v>0</v>
      </c>
      <c r="G38" s="16">
        <f t="shared" si="11"/>
        <v>0</v>
      </c>
      <c r="H38" s="16"/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</row>
  </sheetData>
  <customSheetViews>
    <customSheetView guid="{F55D2626-B25D-4865-88D7-A4040A583D45}" scale="90" showPageBreaks="1" fitToPage="1">
      <pane ySplit="11" topLeftCell="A12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"/>
    </customSheetView>
    <customSheetView guid="{9D6C8421-31F4-449D-B427-1D13044E970D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36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27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6"/>
    </customSheetView>
  </customSheetViews>
  <mergeCells count="28">
    <mergeCell ref="O8:P8"/>
    <mergeCell ref="E9:E10"/>
    <mergeCell ref="F9:F10"/>
    <mergeCell ref="K9:K10"/>
    <mergeCell ref="L9:L10"/>
    <mergeCell ref="O9:O10"/>
    <mergeCell ref="P9:P10"/>
    <mergeCell ref="I7:I10"/>
    <mergeCell ref="J7:L7"/>
    <mergeCell ref="M7:M10"/>
    <mergeCell ref="N7:P7"/>
    <mergeCell ref="K8:L8"/>
    <mergeCell ref="A2:P2"/>
    <mergeCell ref="A4:P4"/>
    <mergeCell ref="A6:A10"/>
    <mergeCell ref="B6:B10"/>
    <mergeCell ref="C6:H6"/>
    <mergeCell ref="I6:L6"/>
    <mergeCell ref="M6:P6"/>
    <mergeCell ref="C7:C10"/>
    <mergeCell ref="D7:F7"/>
    <mergeCell ref="G7:H7"/>
    <mergeCell ref="D8:D10"/>
    <mergeCell ref="E8:F8"/>
    <mergeCell ref="G8:G10"/>
    <mergeCell ref="H8:H10"/>
    <mergeCell ref="J8:J10"/>
    <mergeCell ref="N8:N10"/>
  </mergeCells>
  <pageMargins left="0.31496062992125984" right="0.31496062992125984" top="0.35433070866141736" bottom="0.35433070866141736" header="0.31496062992125984" footer="0.31496062992125984"/>
  <pageSetup paperSize="9" scale="38" fitToHeight="2" orientation="landscape" verticalDpi="180" r:id="rId17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R38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7" width="19.5703125" style="2" customWidth="1"/>
    <col min="8" max="8" width="56.42578125" style="2" customWidth="1"/>
    <col min="9" max="11" width="19.5703125" style="2" customWidth="1"/>
    <col min="12" max="12" width="17.5703125" style="2" customWidth="1"/>
    <col min="13" max="16" width="19.5703125" style="2" customWidth="1"/>
    <col min="17" max="18" width="9.140625" style="19"/>
    <col min="19" max="16384" width="9.140625" style="2"/>
  </cols>
  <sheetData>
    <row r="2" spans="1:16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6" customHeight="1" x14ac:dyDescent="0.3"/>
    <row r="4" spans="1:16" s="19" customFormat="1" ht="42.75" customHeight="1" x14ac:dyDescent="0.25">
      <c r="A4" s="333" t="s">
        <v>151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</row>
    <row r="5" spans="1:16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0"/>
      <c r="J5" s="20"/>
      <c r="K5" s="20"/>
      <c r="L5" s="20"/>
      <c r="M5" s="20"/>
      <c r="N5" s="20"/>
      <c r="O5" s="20"/>
      <c r="P5" s="20"/>
    </row>
    <row r="6" spans="1:16" s="19" customFormat="1" ht="33.75" customHeight="1" x14ac:dyDescent="0.25">
      <c r="A6" s="270" t="s">
        <v>0</v>
      </c>
      <c r="B6" s="271" t="s">
        <v>28</v>
      </c>
      <c r="C6" s="292" t="s">
        <v>21</v>
      </c>
      <c r="D6" s="293"/>
      <c r="E6" s="293"/>
      <c r="F6" s="293"/>
      <c r="G6" s="293"/>
      <c r="H6" s="294"/>
      <c r="I6" s="277" t="s">
        <v>22</v>
      </c>
      <c r="J6" s="277"/>
      <c r="K6" s="277"/>
      <c r="L6" s="277"/>
      <c r="M6" s="277" t="s">
        <v>41</v>
      </c>
      <c r="N6" s="277"/>
      <c r="O6" s="277"/>
      <c r="P6" s="277"/>
    </row>
    <row r="7" spans="1:16" s="19" customFormat="1" ht="47.25" customHeight="1" x14ac:dyDescent="0.25">
      <c r="A7" s="270"/>
      <c r="B7" s="271"/>
      <c r="C7" s="283" t="s">
        <v>8</v>
      </c>
      <c r="D7" s="274" t="s">
        <v>23</v>
      </c>
      <c r="E7" s="275"/>
      <c r="F7" s="275"/>
      <c r="G7" s="271" t="s">
        <v>24</v>
      </c>
      <c r="H7" s="271"/>
      <c r="I7" s="271" t="s">
        <v>8</v>
      </c>
      <c r="J7" s="274" t="s">
        <v>23</v>
      </c>
      <c r="K7" s="275"/>
      <c r="L7" s="275"/>
      <c r="M7" s="271" t="s">
        <v>8</v>
      </c>
      <c r="N7" s="276" t="s">
        <v>23</v>
      </c>
      <c r="O7" s="276"/>
      <c r="P7" s="276"/>
    </row>
    <row r="8" spans="1:16" s="19" customFormat="1" ht="18.75" customHeight="1" x14ac:dyDescent="0.25">
      <c r="A8" s="270"/>
      <c r="B8" s="271"/>
      <c r="C8" s="283"/>
      <c r="D8" s="271" t="s">
        <v>15</v>
      </c>
      <c r="E8" s="276" t="s">
        <v>16</v>
      </c>
      <c r="F8" s="276"/>
      <c r="G8" s="288" t="s">
        <v>9</v>
      </c>
      <c r="H8" s="272" t="s">
        <v>20</v>
      </c>
      <c r="I8" s="271"/>
      <c r="J8" s="271" t="s">
        <v>15</v>
      </c>
      <c r="K8" s="276" t="s">
        <v>16</v>
      </c>
      <c r="L8" s="276"/>
      <c r="M8" s="271"/>
      <c r="N8" s="271" t="s">
        <v>15</v>
      </c>
      <c r="O8" s="276" t="s">
        <v>16</v>
      </c>
      <c r="P8" s="276"/>
    </row>
    <row r="9" spans="1:16" s="19" customFormat="1" ht="39.75" customHeight="1" x14ac:dyDescent="0.25">
      <c r="A9" s="270"/>
      <c r="B9" s="271"/>
      <c r="C9" s="283"/>
      <c r="D9" s="271"/>
      <c r="E9" s="271" t="s">
        <v>17</v>
      </c>
      <c r="F9" s="272" t="s">
        <v>18</v>
      </c>
      <c r="G9" s="289"/>
      <c r="H9" s="284"/>
      <c r="I9" s="271"/>
      <c r="J9" s="271"/>
      <c r="K9" s="271" t="s">
        <v>17</v>
      </c>
      <c r="L9" s="272" t="s">
        <v>18</v>
      </c>
      <c r="M9" s="271"/>
      <c r="N9" s="271"/>
      <c r="O9" s="271" t="s">
        <v>17</v>
      </c>
      <c r="P9" s="272" t="s">
        <v>18</v>
      </c>
    </row>
    <row r="10" spans="1:16" s="19" customFormat="1" ht="37.5" customHeight="1" x14ac:dyDescent="0.25">
      <c r="A10" s="270"/>
      <c r="B10" s="271"/>
      <c r="C10" s="283"/>
      <c r="D10" s="271"/>
      <c r="E10" s="271"/>
      <c r="F10" s="273"/>
      <c r="G10" s="290"/>
      <c r="H10" s="273"/>
      <c r="I10" s="271"/>
      <c r="J10" s="271"/>
      <c r="K10" s="271"/>
      <c r="L10" s="273"/>
      <c r="M10" s="271"/>
      <c r="N10" s="271"/>
      <c r="O10" s="271"/>
      <c r="P10" s="273"/>
    </row>
    <row r="11" spans="1:16" s="245" customFormat="1" ht="16.5" customHeight="1" x14ac:dyDescent="0.3">
      <c r="A11" s="233">
        <v>1</v>
      </c>
      <c r="B11" s="238">
        <v>2</v>
      </c>
      <c r="C11" s="244">
        <v>3</v>
      </c>
      <c r="D11" s="233">
        <v>4</v>
      </c>
      <c r="E11" s="238">
        <v>5</v>
      </c>
      <c r="F11" s="244">
        <v>6</v>
      </c>
      <c r="G11" s="238">
        <v>7</v>
      </c>
      <c r="H11" s="244">
        <v>8</v>
      </c>
      <c r="I11" s="244">
        <v>9</v>
      </c>
      <c r="J11" s="233">
        <v>10</v>
      </c>
      <c r="K11" s="238">
        <v>11</v>
      </c>
      <c r="L11" s="244">
        <v>12</v>
      </c>
      <c r="M11" s="244">
        <v>13</v>
      </c>
      <c r="N11" s="233">
        <v>14</v>
      </c>
      <c r="O11" s="238">
        <v>15</v>
      </c>
      <c r="P11" s="244">
        <v>16</v>
      </c>
    </row>
    <row r="12" spans="1:16" s="25" customFormat="1" ht="45" x14ac:dyDescent="0.25">
      <c r="A12" s="241">
        <v>1</v>
      </c>
      <c r="B12" s="22" t="s">
        <v>42</v>
      </c>
      <c r="C12" s="23">
        <f>C14+C15+C16+C17+C18</f>
        <v>0</v>
      </c>
      <c r="D12" s="23">
        <f>E12+F12</f>
        <v>0</v>
      </c>
      <c r="E12" s="23">
        <f t="shared" ref="E12:P12" si="0">E14+E15+E16+E17+E18</f>
        <v>0</v>
      </c>
      <c r="F12" s="23">
        <f t="shared" si="0"/>
        <v>0</v>
      </c>
      <c r="G12" s="23">
        <f t="shared" si="0"/>
        <v>0</v>
      </c>
      <c r="H12" s="24"/>
      <c r="I12" s="23">
        <f t="shared" si="0"/>
        <v>0</v>
      </c>
      <c r="J12" s="23">
        <f>K12+L12</f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>O12+P12</f>
        <v>0</v>
      </c>
      <c r="O12" s="23">
        <f t="shared" si="0"/>
        <v>0</v>
      </c>
      <c r="P12" s="23">
        <f t="shared" si="0"/>
        <v>0</v>
      </c>
    </row>
    <row r="13" spans="1:16" s="25" customFormat="1" x14ac:dyDescent="0.25">
      <c r="A13" s="242"/>
      <c r="B13" s="27" t="s">
        <v>1</v>
      </c>
      <c r="C13" s="23"/>
      <c r="D13" s="23">
        <f t="shared" ref="D13:D18" si="1">E13+F13</f>
        <v>0</v>
      </c>
      <c r="E13" s="23"/>
      <c r="F13" s="23"/>
      <c r="G13" s="23"/>
      <c r="H13" s="24"/>
      <c r="I13" s="23"/>
      <c r="J13" s="23">
        <f t="shared" ref="J13:J18" si="2">K13+L13</f>
        <v>0</v>
      </c>
      <c r="K13" s="23"/>
      <c r="L13" s="23"/>
      <c r="M13" s="23"/>
      <c r="N13" s="23">
        <f t="shared" ref="N13:N18" si="3">O13+P13</f>
        <v>0</v>
      </c>
      <c r="O13" s="23"/>
      <c r="P13" s="23"/>
    </row>
    <row r="14" spans="1:16" s="29" customFormat="1" x14ac:dyDescent="0.25">
      <c r="A14" s="243" t="s">
        <v>4</v>
      </c>
      <c r="B14" s="28" t="s">
        <v>2</v>
      </c>
      <c r="C14" s="23"/>
      <c r="D14" s="23">
        <f t="shared" si="1"/>
        <v>0</v>
      </c>
      <c r="E14" s="23"/>
      <c r="F14" s="23"/>
      <c r="G14" s="23"/>
      <c r="H14" s="24"/>
      <c r="I14" s="23"/>
      <c r="J14" s="23">
        <f t="shared" si="2"/>
        <v>0</v>
      </c>
      <c r="K14" s="23"/>
      <c r="L14" s="23"/>
      <c r="M14" s="23"/>
      <c r="N14" s="23">
        <f t="shared" si="3"/>
        <v>0</v>
      </c>
      <c r="O14" s="23"/>
      <c r="P14" s="23"/>
    </row>
    <row r="15" spans="1:16" s="29" customFormat="1" ht="30" x14ac:dyDescent="0.25">
      <c r="A15" s="243" t="s">
        <v>5</v>
      </c>
      <c r="B15" s="30" t="s">
        <v>10</v>
      </c>
      <c r="C15" s="23"/>
      <c r="D15" s="23">
        <f t="shared" si="1"/>
        <v>0</v>
      </c>
      <c r="E15" s="23"/>
      <c r="F15" s="23"/>
      <c r="G15" s="23"/>
      <c r="H15" s="28"/>
      <c r="I15" s="23"/>
      <c r="J15" s="23">
        <f t="shared" si="2"/>
        <v>0</v>
      </c>
      <c r="K15" s="23"/>
      <c r="L15" s="23"/>
      <c r="M15" s="23"/>
      <c r="N15" s="23">
        <f t="shared" si="3"/>
        <v>0</v>
      </c>
      <c r="O15" s="23"/>
      <c r="P15" s="23"/>
    </row>
    <row r="16" spans="1:16" s="29" customFormat="1" ht="30" x14ac:dyDescent="0.25">
      <c r="A16" s="243" t="s">
        <v>6</v>
      </c>
      <c r="B16" s="30" t="s">
        <v>11</v>
      </c>
      <c r="C16" s="23"/>
      <c r="D16" s="23">
        <f t="shared" si="1"/>
        <v>0</v>
      </c>
      <c r="E16" s="23"/>
      <c r="F16" s="23"/>
      <c r="G16" s="23"/>
      <c r="H16" s="28"/>
      <c r="I16" s="23"/>
      <c r="J16" s="23">
        <f t="shared" si="2"/>
        <v>0</v>
      </c>
      <c r="K16" s="23"/>
      <c r="L16" s="23"/>
      <c r="M16" s="23"/>
      <c r="N16" s="23">
        <f t="shared" si="3"/>
        <v>0</v>
      </c>
      <c r="O16" s="23"/>
      <c r="P16" s="23"/>
    </row>
    <row r="17" spans="1:16" s="29" customFormat="1" ht="30" x14ac:dyDescent="0.25">
      <c r="A17" s="243" t="s">
        <v>7</v>
      </c>
      <c r="B17" s="30" t="s">
        <v>13</v>
      </c>
      <c r="C17" s="31"/>
      <c r="D17" s="23">
        <f t="shared" si="1"/>
        <v>0</v>
      </c>
      <c r="E17" s="31"/>
      <c r="F17" s="31"/>
      <c r="G17" s="31"/>
      <c r="H17" s="32"/>
      <c r="I17" s="31"/>
      <c r="J17" s="23">
        <f t="shared" si="2"/>
        <v>0</v>
      </c>
      <c r="K17" s="31"/>
      <c r="L17" s="31"/>
      <c r="M17" s="31"/>
      <c r="N17" s="23">
        <f t="shared" si="3"/>
        <v>0</v>
      </c>
      <c r="O17" s="31"/>
      <c r="P17" s="31"/>
    </row>
    <row r="18" spans="1:16" s="29" customFormat="1" ht="30" x14ac:dyDescent="0.25">
      <c r="A18" s="243" t="s">
        <v>12</v>
      </c>
      <c r="B18" s="30" t="s">
        <v>3</v>
      </c>
      <c r="C18" s="23"/>
      <c r="D18" s="23">
        <f t="shared" si="1"/>
        <v>0</v>
      </c>
      <c r="E18" s="23"/>
      <c r="F18" s="23"/>
      <c r="G18" s="23"/>
      <c r="H18" s="33"/>
      <c r="I18" s="23"/>
      <c r="J18" s="23">
        <f t="shared" si="2"/>
        <v>0</v>
      </c>
      <c r="K18" s="23"/>
      <c r="L18" s="23"/>
      <c r="M18" s="23"/>
      <c r="N18" s="23">
        <f t="shared" si="3"/>
        <v>0</v>
      </c>
      <c r="O18" s="23"/>
      <c r="P18" s="23"/>
    </row>
    <row r="19" spans="1:16" s="29" customFormat="1" ht="30" x14ac:dyDescent="0.25">
      <c r="A19" s="241">
        <v>2</v>
      </c>
      <c r="B19" s="22" t="s">
        <v>147</v>
      </c>
      <c r="C19" s="23">
        <f>C21+C22+C23+C24+C25</f>
        <v>0</v>
      </c>
      <c r="D19" s="23">
        <f>E19+F19</f>
        <v>0</v>
      </c>
      <c r="E19" s="23">
        <f t="shared" ref="E19:G19" si="4">E21+E22+E23+E24+E25</f>
        <v>0</v>
      </c>
      <c r="F19" s="23">
        <f t="shared" si="4"/>
        <v>0</v>
      </c>
      <c r="G19" s="23">
        <f t="shared" si="4"/>
        <v>0</v>
      </c>
      <c r="H19" s="24"/>
      <c r="I19" s="23">
        <f t="shared" ref="I19" si="5">I21+I22+I23+I24+I25</f>
        <v>0</v>
      </c>
      <c r="J19" s="23">
        <f>K19+L19</f>
        <v>0</v>
      </c>
      <c r="K19" s="23">
        <f t="shared" ref="K19:M19" si="6">K21+K22+K23+K24+K25</f>
        <v>0</v>
      </c>
      <c r="L19" s="23">
        <f t="shared" si="6"/>
        <v>0</v>
      </c>
      <c r="M19" s="23">
        <f t="shared" si="6"/>
        <v>0</v>
      </c>
      <c r="N19" s="23">
        <f>O19+P19</f>
        <v>0</v>
      </c>
      <c r="O19" s="23">
        <f t="shared" ref="O19:P19" si="7">O21+O22+O23+O24+O25</f>
        <v>0</v>
      </c>
      <c r="P19" s="23">
        <f t="shared" si="7"/>
        <v>0</v>
      </c>
    </row>
    <row r="20" spans="1:16" s="25" customFormat="1" x14ac:dyDescent="0.25">
      <c r="A20" s="242"/>
      <c r="B20" s="27" t="s">
        <v>1</v>
      </c>
      <c r="C20" s="23"/>
      <c r="D20" s="23">
        <f t="shared" ref="D20:D37" si="8">E20+F20</f>
        <v>0</v>
      </c>
      <c r="E20" s="23"/>
      <c r="F20" s="23"/>
      <c r="G20" s="23"/>
      <c r="H20" s="24"/>
      <c r="I20" s="23"/>
      <c r="J20" s="23">
        <f t="shared" ref="J20:J37" si="9">K20+L20</f>
        <v>0</v>
      </c>
      <c r="K20" s="23"/>
      <c r="L20" s="23"/>
      <c r="M20" s="23"/>
      <c r="N20" s="23">
        <f t="shared" ref="N20:N37" si="10">O20+P20</f>
        <v>0</v>
      </c>
      <c r="O20" s="23"/>
      <c r="P20" s="23"/>
    </row>
    <row r="21" spans="1:16" s="25" customFormat="1" x14ac:dyDescent="0.25">
      <c r="A21" s="243" t="s">
        <v>4</v>
      </c>
      <c r="B21" s="28" t="s">
        <v>2</v>
      </c>
      <c r="C21" s="23"/>
      <c r="D21" s="23">
        <f t="shared" si="8"/>
        <v>0</v>
      </c>
      <c r="E21" s="23"/>
      <c r="F21" s="23"/>
      <c r="G21" s="23"/>
      <c r="H21" s="24"/>
      <c r="I21" s="23"/>
      <c r="J21" s="23">
        <f t="shared" si="9"/>
        <v>0</v>
      </c>
      <c r="K21" s="23"/>
      <c r="L21" s="23"/>
      <c r="M21" s="23"/>
      <c r="N21" s="23">
        <f t="shared" si="10"/>
        <v>0</v>
      </c>
      <c r="O21" s="23"/>
      <c r="P21" s="23"/>
    </row>
    <row r="22" spans="1:16" s="25" customFormat="1" ht="53.45" customHeight="1" x14ac:dyDescent="0.25">
      <c r="A22" s="243" t="s">
        <v>5</v>
      </c>
      <c r="B22" s="30" t="s">
        <v>10</v>
      </c>
      <c r="C22" s="23"/>
      <c r="D22" s="23">
        <f t="shared" si="8"/>
        <v>0</v>
      </c>
      <c r="E22" s="23"/>
      <c r="F22" s="23"/>
      <c r="G22" s="23"/>
      <c r="H22" s="28"/>
      <c r="I22" s="23"/>
      <c r="J22" s="23">
        <f t="shared" si="9"/>
        <v>0</v>
      </c>
      <c r="K22" s="23"/>
      <c r="L22" s="23"/>
      <c r="M22" s="23"/>
      <c r="N22" s="23">
        <f t="shared" si="10"/>
        <v>0</v>
      </c>
      <c r="O22" s="23"/>
      <c r="P22" s="23"/>
    </row>
    <row r="23" spans="1:16" s="29" customFormat="1" ht="30" x14ac:dyDescent="0.25">
      <c r="A23" s="243" t="s">
        <v>6</v>
      </c>
      <c r="B23" s="30" t="s">
        <v>11</v>
      </c>
      <c r="C23" s="23"/>
      <c r="D23" s="23">
        <f t="shared" si="8"/>
        <v>0</v>
      </c>
      <c r="E23" s="23"/>
      <c r="F23" s="23"/>
      <c r="G23" s="23"/>
      <c r="H23" s="28"/>
      <c r="I23" s="23"/>
      <c r="J23" s="23">
        <f t="shared" si="9"/>
        <v>0</v>
      </c>
      <c r="K23" s="23"/>
      <c r="L23" s="23"/>
      <c r="M23" s="23"/>
      <c r="N23" s="23">
        <f t="shared" si="10"/>
        <v>0</v>
      </c>
      <c r="O23" s="23"/>
      <c r="P23" s="23"/>
    </row>
    <row r="24" spans="1:16" s="29" customFormat="1" ht="30" x14ac:dyDescent="0.25">
      <c r="A24" s="243" t="s">
        <v>7</v>
      </c>
      <c r="B24" s="30" t="s">
        <v>13</v>
      </c>
      <c r="C24" s="31"/>
      <c r="D24" s="23">
        <f t="shared" si="8"/>
        <v>0</v>
      </c>
      <c r="E24" s="31"/>
      <c r="F24" s="31"/>
      <c r="G24" s="31"/>
      <c r="H24" s="33"/>
      <c r="I24" s="31"/>
      <c r="J24" s="23">
        <f t="shared" si="9"/>
        <v>0</v>
      </c>
      <c r="K24" s="31"/>
      <c r="L24" s="31"/>
      <c r="M24" s="31"/>
      <c r="N24" s="23">
        <f t="shared" si="10"/>
        <v>0</v>
      </c>
      <c r="O24" s="31"/>
      <c r="P24" s="31"/>
    </row>
    <row r="25" spans="1:16" s="29" customFormat="1" ht="30" x14ac:dyDescent="0.25">
      <c r="A25" s="243" t="s">
        <v>12</v>
      </c>
      <c r="B25" s="30" t="s">
        <v>3</v>
      </c>
      <c r="C25" s="23"/>
      <c r="D25" s="23">
        <f t="shared" si="8"/>
        <v>0</v>
      </c>
      <c r="E25" s="23"/>
      <c r="F25" s="23"/>
      <c r="G25" s="23"/>
      <c r="H25" s="33"/>
      <c r="I25" s="23"/>
      <c r="J25" s="23">
        <f t="shared" si="9"/>
        <v>0</v>
      </c>
      <c r="K25" s="23"/>
      <c r="L25" s="23"/>
      <c r="M25" s="23"/>
      <c r="N25" s="23">
        <f t="shared" si="10"/>
        <v>0</v>
      </c>
      <c r="O25" s="23"/>
      <c r="P25" s="23"/>
    </row>
    <row r="26" spans="1:16" s="11" customFormat="1" x14ac:dyDescent="0.25">
      <c r="A26" s="234">
        <v>3</v>
      </c>
      <c r="B26" s="13"/>
      <c r="C26" s="8"/>
      <c r="D26" s="8">
        <f t="shared" si="8"/>
        <v>0</v>
      </c>
      <c r="E26" s="8"/>
      <c r="F26" s="8"/>
      <c r="G26" s="8"/>
      <c r="H26" s="34"/>
      <c r="I26" s="8"/>
      <c r="J26" s="8">
        <f t="shared" si="9"/>
        <v>0</v>
      </c>
      <c r="K26" s="8"/>
      <c r="L26" s="8"/>
      <c r="M26" s="8"/>
      <c r="N26" s="8">
        <f t="shared" si="10"/>
        <v>0</v>
      </c>
      <c r="O26" s="8"/>
      <c r="P26" s="8"/>
    </row>
    <row r="27" spans="1:16" s="11" customFormat="1" x14ac:dyDescent="0.25">
      <c r="A27" s="234">
        <v>4</v>
      </c>
      <c r="B27" s="13"/>
      <c r="C27" s="8"/>
      <c r="D27" s="8">
        <f t="shared" si="8"/>
        <v>0</v>
      </c>
      <c r="E27" s="8"/>
      <c r="F27" s="8"/>
      <c r="G27" s="8"/>
      <c r="H27" s="34"/>
      <c r="I27" s="8"/>
      <c r="J27" s="8">
        <f t="shared" si="9"/>
        <v>0</v>
      </c>
      <c r="K27" s="8"/>
      <c r="L27" s="8"/>
      <c r="M27" s="8"/>
      <c r="N27" s="8">
        <f t="shared" si="10"/>
        <v>0</v>
      </c>
      <c r="O27" s="8"/>
      <c r="P27" s="8"/>
    </row>
    <row r="28" spans="1:16" s="11" customFormat="1" x14ac:dyDescent="0.25">
      <c r="A28" s="234">
        <v>5</v>
      </c>
      <c r="B28" s="13"/>
      <c r="C28" s="8"/>
      <c r="D28" s="8">
        <f t="shared" si="8"/>
        <v>0</v>
      </c>
      <c r="E28" s="8"/>
      <c r="F28" s="8"/>
      <c r="G28" s="8"/>
      <c r="H28" s="34"/>
      <c r="I28" s="8"/>
      <c r="J28" s="8">
        <f t="shared" si="9"/>
        <v>0</v>
      </c>
      <c r="K28" s="8"/>
      <c r="L28" s="8"/>
      <c r="M28" s="8"/>
      <c r="N28" s="8">
        <f t="shared" si="10"/>
        <v>0</v>
      </c>
      <c r="O28" s="8"/>
      <c r="P28" s="8"/>
    </row>
    <row r="29" spans="1:16" s="19" customFormat="1" x14ac:dyDescent="0.25">
      <c r="A29" s="234">
        <v>6</v>
      </c>
      <c r="B29" s="13"/>
      <c r="C29" s="8"/>
      <c r="D29" s="8">
        <f t="shared" si="8"/>
        <v>0</v>
      </c>
      <c r="E29" s="8"/>
      <c r="F29" s="8"/>
      <c r="G29" s="8"/>
      <c r="H29" s="13"/>
      <c r="I29" s="8"/>
      <c r="J29" s="8">
        <f t="shared" si="9"/>
        <v>0</v>
      </c>
      <c r="K29" s="8"/>
      <c r="L29" s="8"/>
      <c r="M29" s="8"/>
      <c r="N29" s="8">
        <f t="shared" si="10"/>
        <v>0</v>
      </c>
      <c r="O29" s="8"/>
      <c r="P29" s="8"/>
    </row>
    <row r="30" spans="1:16" s="19" customFormat="1" x14ac:dyDescent="0.25">
      <c r="A30" s="234">
        <v>7</v>
      </c>
      <c r="B30" s="13"/>
      <c r="C30" s="8"/>
      <c r="D30" s="8">
        <f t="shared" si="8"/>
        <v>0</v>
      </c>
      <c r="E30" s="8"/>
      <c r="F30" s="8"/>
      <c r="G30" s="8"/>
      <c r="H30" s="13"/>
      <c r="I30" s="8"/>
      <c r="J30" s="8">
        <f t="shared" si="9"/>
        <v>0</v>
      </c>
      <c r="K30" s="8"/>
      <c r="L30" s="8"/>
      <c r="M30" s="8"/>
      <c r="N30" s="8">
        <f t="shared" si="10"/>
        <v>0</v>
      </c>
      <c r="O30" s="8"/>
      <c r="P30" s="8"/>
    </row>
    <row r="31" spans="1:16" s="19" customFormat="1" x14ac:dyDescent="0.25">
      <c r="A31" s="234">
        <v>8</v>
      </c>
      <c r="B31" s="13"/>
      <c r="C31" s="8"/>
      <c r="D31" s="8">
        <f t="shared" si="8"/>
        <v>0</v>
      </c>
      <c r="E31" s="8"/>
      <c r="F31" s="8"/>
      <c r="G31" s="8"/>
      <c r="H31" s="13"/>
      <c r="I31" s="8"/>
      <c r="J31" s="8">
        <f t="shared" si="9"/>
        <v>0</v>
      </c>
      <c r="K31" s="8"/>
      <c r="L31" s="8"/>
      <c r="M31" s="8"/>
      <c r="N31" s="8">
        <f t="shared" si="10"/>
        <v>0</v>
      </c>
      <c r="O31" s="8"/>
      <c r="P31" s="8"/>
    </row>
    <row r="32" spans="1:16" s="19" customFormat="1" x14ac:dyDescent="0.25">
      <c r="A32" s="234">
        <v>9</v>
      </c>
      <c r="B32" s="13"/>
      <c r="C32" s="8"/>
      <c r="D32" s="8">
        <f t="shared" si="8"/>
        <v>0</v>
      </c>
      <c r="E32" s="8"/>
      <c r="F32" s="8"/>
      <c r="G32" s="8"/>
      <c r="H32" s="13"/>
      <c r="I32" s="8"/>
      <c r="J32" s="8">
        <f t="shared" si="9"/>
        <v>0</v>
      </c>
      <c r="K32" s="8"/>
      <c r="L32" s="8"/>
      <c r="M32" s="8"/>
      <c r="N32" s="8">
        <f t="shared" si="10"/>
        <v>0</v>
      </c>
      <c r="O32" s="8"/>
      <c r="P32" s="8"/>
    </row>
    <row r="33" spans="1:16" s="19" customFormat="1" x14ac:dyDescent="0.25">
      <c r="A33" s="234">
        <v>10</v>
      </c>
      <c r="B33" s="13"/>
      <c r="C33" s="8"/>
      <c r="D33" s="8">
        <f t="shared" si="8"/>
        <v>0</v>
      </c>
      <c r="E33" s="8"/>
      <c r="F33" s="8"/>
      <c r="G33" s="8"/>
      <c r="H33" s="13"/>
      <c r="I33" s="8"/>
      <c r="J33" s="8">
        <f t="shared" si="9"/>
        <v>0</v>
      </c>
      <c r="K33" s="8"/>
      <c r="L33" s="8"/>
      <c r="M33" s="8"/>
      <c r="N33" s="8">
        <f t="shared" si="10"/>
        <v>0</v>
      </c>
      <c r="O33" s="8"/>
      <c r="P33" s="8"/>
    </row>
    <row r="34" spans="1:16" s="19" customFormat="1" x14ac:dyDescent="0.25">
      <c r="A34" s="234">
        <v>11</v>
      </c>
      <c r="B34" s="13"/>
      <c r="C34" s="8"/>
      <c r="D34" s="8">
        <f t="shared" si="8"/>
        <v>0</v>
      </c>
      <c r="E34" s="8"/>
      <c r="F34" s="8"/>
      <c r="G34" s="8"/>
      <c r="H34" s="13"/>
      <c r="I34" s="8"/>
      <c r="J34" s="8">
        <f t="shared" si="9"/>
        <v>0</v>
      </c>
      <c r="K34" s="8"/>
      <c r="L34" s="8"/>
      <c r="M34" s="8"/>
      <c r="N34" s="8">
        <f t="shared" si="10"/>
        <v>0</v>
      </c>
      <c r="O34" s="8"/>
      <c r="P34" s="8"/>
    </row>
    <row r="35" spans="1:16" s="19" customFormat="1" x14ac:dyDescent="0.25">
      <c r="A35" s="234">
        <v>12</v>
      </c>
      <c r="B35" s="13"/>
      <c r="C35" s="8"/>
      <c r="D35" s="8">
        <f t="shared" si="8"/>
        <v>0</v>
      </c>
      <c r="E35" s="8"/>
      <c r="F35" s="8"/>
      <c r="G35" s="8"/>
      <c r="H35" s="13"/>
      <c r="I35" s="8"/>
      <c r="J35" s="8">
        <f t="shared" si="9"/>
        <v>0</v>
      </c>
      <c r="K35" s="8"/>
      <c r="L35" s="8"/>
      <c r="M35" s="8"/>
      <c r="N35" s="8">
        <f t="shared" si="10"/>
        <v>0</v>
      </c>
      <c r="O35" s="8"/>
      <c r="P35" s="8"/>
    </row>
    <row r="36" spans="1:16" s="19" customFormat="1" x14ac:dyDescent="0.25">
      <c r="A36" s="234">
        <v>13</v>
      </c>
      <c r="B36" s="13"/>
      <c r="C36" s="8"/>
      <c r="D36" s="8">
        <f t="shared" si="8"/>
        <v>0</v>
      </c>
      <c r="E36" s="8"/>
      <c r="F36" s="8"/>
      <c r="G36" s="8"/>
      <c r="H36" s="13"/>
      <c r="I36" s="8"/>
      <c r="J36" s="8">
        <f t="shared" si="9"/>
        <v>0</v>
      </c>
      <c r="K36" s="8"/>
      <c r="L36" s="8"/>
      <c r="M36" s="8"/>
      <c r="N36" s="8">
        <f t="shared" si="10"/>
        <v>0</v>
      </c>
      <c r="O36" s="8"/>
      <c r="P36" s="8"/>
    </row>
    <row r="37" spans="1:16" s="19" customFormat="1" ht="15.75" customHeight="1" x14ac:dyDescent="0.25">
      <c r="A37" s="234" t="s">
        <v>27</v>
      </c>
      <c r="B37" s="13"/>
      <c r="C37" s="8"/>
      <c r="D37" s="8">
        <f t="shared" si="8"/>
        <v>0</v>
      </c>
      <c r="E37" s="8"/>
      <c r="F37" s="8"/>
      <c r="G37" s="8"/>
      <c r="H37" s="13"/>
      <c r="I37" s="8"/>
      <c r="J37" s="8">
        <f t="shared" si="9"/>
        <v>0</v>
      </c>
      <c r="K37" s="8"/>
      <c r="L37" s="8"/>
      <c r="M37" s="8"/>
      <c r="N37" s="8">
        <f t="shared" si="10"/>
        <v>0</v>
      </c>
      <c r="O37" s="8"/>
      <c r="P37" s="8"/>
    </row>
    <row r="38" spans="1:16" s="1" customFormat="1" x14ac:dyDescent="0.25">
      <c r="A38" s="237"/>
      <c r="B38" s="15" t="s">
        <v>14</v>
      </c>
      <c r="C38" s="16">
        <f>SUM(C26:C37)+C19+C12</f>
        <v>0</v>
      </c>
      <c r="D38" s="16">
        <f t="shared" ref="D38:P38" si="11">SUM(D12:D22)</f>
        <v>0</v>
      </c>
      <c r="E38" s="16">
        <f t="shared" si="11"/>
        <v>0</v>
      </c>
      <c r="F38" s="16">
        <f t="shared" si="11"/>
        <v>0</v>
      </c>
      <c r="G38" s="16">
        <f t="shared" si="11"/>
        <v>0</v>
      </c>
      <c r="H38" s="16"/>
      <c r="I38" s="16">
        <f t="shared" si="11"/>
        <v>0</v>
      </c>
      <c r="J38" s="16">
        <f t="shared" si="11"/>
        <v>0</v>
      </c>
      <c r="K38" s="16">
        <f t="shared" si="11"/>
        <v>0</v>
      </c>
      <c r="L38" s="16">
        <f t="shared" si="11"/>
        <v>0</v>
      </c>
      <c r="M38" s="16">
        <f t="shared" si="11"/>
        <v>0</v>
      </c>
      <c r="N38" s="16">
        <f t="shared" si="11"/>
        <v>0</v>
      </c>
      <c r="O38" s="16">
        <f t="shared" si="11"/>
        <v>0</v>
      </c>
      <c r="P38" s="16">
        <f t="shared" si="11"/>
        <v>0</v>
      </c>
    </row>
  </sheetData>
  <customSheetViews>
    <customSheetView guid="{F55D2626-B25D-4865-88D7-A4040A583D45}" scale="90" showPageBreaks="1" fitToPage="1">
      <pane ySplit="11" topLeftCell="A12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"/>
    </customSheetView>
    <customSheetView guid="{9D6C8421-31F4-449D-B427-1D13044E970D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24" activePane="bottomLeft" state="frozen"/>
      <selection pane="bottomLeft" activeCell="H24" sqref="H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6"/>
    </customSheetView>
  </customSheetViews>
  <mergeCells count="28">
    <mergeCell ref="O8:P8"/>
    <mergeCell ref="E9:E10"/>
    <mergeCell ref="F9:F10"/>
    <mergeCell ref="K9:K10"/>
    <mergeCell ref="L9:L10"/>
    <mergeCell ref="O9:O10"/>
    <mergeCell ref="P9:P10"/>
    <mergeCell ref="I7:I10"/>
    <mergeCell ref="J7:L7"/>
    <mergeCell ref="M7:M10"/>
    <mergeCell ref="N7:P7"/>
    <mergeCell ref="K8:L8"/>
    <mergeCell ref="A2:P2"/>
    <mergeCell ref="A4:P4"/>
    <mergeCell ref="A6:A10"/>
    <mergeCell ref="B6:B10"/>
    <mergeCell ref="C6:H6"/>
    <mergeCell ref="I6:L6"/>
    <mergeCell ref="M6:P6"/>
    <mergeCell ref="C7:C10"/>
    <mergeCell ref="D7:F7"/>
    <mergeCell ref="G7:H7"/>
    <mergeCell ref="D8:D10"/>
    <mergeCell ref="E8:F8"/>
    <mergeCell ref="G8:G10"/>
    <mergeCell ref="H8:H10"/>
    <mergeCell ref="J8:J10"/>
    <mergeCell ref="N8:N10"/>
  </mergeCells>
  <pageMargins left="0.31496062992125984" right="0.31496062992125984" top="0.35433070866141736" bottom="0.35433070866141736" header="0.31496062992125984" footer="0.31496062992125984"/>
  <pageSetup paperSize="9" scale="38" fitToHeight="2" orientation="landscape" verticalDpi="180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29"/>
  <sheetViews>
    <sheetView topLeftCell="B1" zoomScale="90" zoomScaleNormal="80" workbookViewId="0">
      <pane ySplit="11" topLeftCell="A24" activePane="bottomLeft" state="frozen"/>
      <selection activeCell="H14" sqref="H14"/>
      <selection pane="bottomLeft" activeCell="M19" sqref="M19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7" width="19" style="2" customWidth="1"/>
    <col min="8" max="11" width="19.5703125" style="2" customWidth="1"/>
    <col min="12" max="12" width="17.5703125" style="2" customWidth="1"/>
    <col min="13" max="13" width="21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" hidden="1" x14ac:dyDescent="0.3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21.75" customHeight="1" x14ac:dyDescent="0.3">
      <c r="A4" s="303" t="s">
        <v>43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62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82" t="s">
        <v>23</v>
      </c>
      <c r="J7" s="295"/>
      <c r="K7" s="283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19.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02.7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102.75" customHeight="1" x14ac:dyDescent="0.25">
      <c r="A12" s="234">
        <v>1</v>
      </c>
      <c r="B12" s="44" t="s">
        <v>162</v>
      </c>
      <c r="C12" s="44">
        <v>0</v>
      </c>
      <c r="D12" s="44">
        <v>878160.67</v>
      </c>
      <c r="E12" s="44">
        <v>0</v>
      </c>
      <c r="F12" s="44">
        <v>837407.29</v>
      </c>
      <c r="G12" s="44">
        <f>H12+I12</f>
        <v>897277.43999999994</v>
      </c>
      <c r="H12" s="8">
        <v>0</v>
      </c>
      <c r="I12" s="45">
        <f>K12</f>
        <v>897277.43999999994</v>
      </c>
      <c r="J12" s="45">
        <v>0</v>
      </c>
      <c r="K12" s="45">
        <f>K14</f>
        <v>897277.43999999994</v>
      </c>
      <c r="L12" s="45">
        <f>L14+L15</f>
        <v>88800</v>
      </c>
      <c r="M12" s="38"/>
      <c r="N12" s="36"/>
      <c r="O12" s="36"/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3" s="25" customFormat="1" x14ac:dyDescent="0.25">
      <c r="A13" s="233"/>
      <c r="B13" s="37" t="s">
        <v>1</v>
      </c>
      <c r="C13" s="37"/>
      <c r="D13" s="37"/>
      <c r="E13" s="37"/>
      <c r="F13" s="37"/>
      <c r="G13" s="44"/>
      <c r="H13" s="8"/>
      <c r="I13" s="8">
        <f t="shared" ref="I13:I15" si="0">J13+K13</f>
        <v>0</v>
      </c>
      <c r="J13" s="8"/>
      <c r="K13" s="8"/>
      <c r="L13" s="8"/>
      <c r="M13" s="38"/>
      <c r="N13" s="36"/>
      <c r="O13" s="36"/>
      <c r="P13" s="8"/>
      <c r="Q13" s="8">
        <f t="shared" ref="Q13:Q15" si="1">R13+S13</f>
        <v>0</v>
      </c>
      <c r="R13" s="8"/>
      <c r="S13" s="8"/>
      <c r="T13" s="8"/>
      <c r="U13" s="8">
        <f t="shared" ref="U13:U15" si="2">V13+W13</f>
        <v>0</v>
      </c>
      <c r="V13" s="8"/>
      <c r="W13" s="8"/>
    </row>
    <row r="14" spans="1:23" s="41" customFormat="1" ht="45" x14ac:dyDescent="0.25">
      <c r="A14" s="236" t="s">
        <v>4</v>
      </c>
      <c r="B14" s="34" t="s">
        <v>2</v>
      </c>
      <c r="C14" s="34">
        <v>0</v>
      </c>
      <c r="D14" s="34">
        <v>447800</v>
      </c>
      <c r="E14" s="34">
        <v>0</v>
      </c>
      <c r="F14" s="34">
        <v>444947.04</v>
      </c>
      <c r="G14" s="44">
        <f t="shared" ref="G14:G25" si="3">H14+I14</f>
        <v>897277.43999999994</v>
      </c>
      <c r="H14" s="8"/>
      <c r="I14" s="8">
        <f t="shared" si="0"/>
        <v>897277.43999999994</v>
      </c>
      <c r="J14" s="8"/>
      <c r="K14" s="8">
        <f>63793.11+833484.33</f>
        <v>897277.43999999994</v>
      </c>
      <c r="L14" s="8">
        <f>833484.33-833484.33</f>
        <v>0</v>
      </c>
      <c r="M14" s="64" t="s">
        <v>161</v>
      </c>
      <c r="N14" s="40"/>
      <c r="O14" s="40"/>
      <c r="P14" s="8"/>
      <c r="Q14" s="8">
        <f t="shared" si="1"/>
        <v>0</v>
      </c>
      <c r="R14" s="8"/>
      <c r="S14" s="8"/>
      <c r="T14" s="8"/>
      <c r="U14" s="8">
        <f t="shared" si="2"/>
        <v>0</v>
      </c>
      <c r="V14" s="8"/>
      <c r="W14" s="8"/>
    </row>
    <row r="15" spans="1:23" s="41" customFormat="1" ht="165" x14ac:dyDescent="0.25">
      <c r="A15" s="236" t="s">
        <v>7</v>
      </c>
      <c r="B15" s="39" t="s">
        <v>13</v>
      </c>
      <c r="C15" s="39">
        <f>C12-C14</f>
        <v>0</v>
      </c>
      <c r="D15" s="39">
        <f>D12-D14</f>
        <v>430360.67000000004</v>
      </c>
      <c r="E15" s="39">
        <f>E12-E14</f>
        <v>0</v>
      </c>
      <c r="F15" s="39">
        <f>F12-F14</f>
        <v>392460.25000000006</v>
      </c>
      <c r="G15" s="44">
        <f t="shared" si="3"/>
        <v>0</v>
      </c>
      <c r="H15" s="61"/>
      <c r="I15" s="8">
        <f t="shared" si="0"/>
        <v>0</v>
      </c>
      <c r="J15" s="61"/>
      <c r="K15" s="61"/>
      <c r="L15" s="61">
        <v>88800</v>
      </c>
      <c r="M15" s="62" t="s">
        <v>164</v>
      </c>
      <c r="N15" s="42"/>
      <c r="O15" s="42"/>
      <c r="P15" s="61"/>
      <c r="Q15" s="8">
        <f t="shared" si="1"/>
        <v>0</v>
      </c>
      <c r="R15" s="61"/>
      <c r="S15" s="61"/>
      <c r="T15" s="61"/>
      <c r="U15" s="8">
        <f t="shared" si="2"/>
        <v>0</v>
      </c>
      <c r="V15" s="61"/>
      <c r="W15" s="61"/>
    </row>
    <row r="16" spans="1:23" s="41" customFormat="1" ht="93.2" customHeight="1" x14ac:dyDescent="0.25">
      <c r="A16" s="234">
        <v>2</v>
      </c>
      <c r="B16" s="44" t="s">
        <v>163</v>
      </c>
      <c r="C16" s="44">
        <v>2329500</v>
      </c>
      <c r="D16" s="44">
        <v>4537873.55</v>
      </c>
      <c r="E16" s="44">
        <v>1997803.53</v>
      </c>
      <c r="F16" s="44">
        <v>2884904.81</v>
      </c>
      <c r="G16" s="44">
        <f t="shared" si="3"/>
        <v>6724691.0299999993</v>
      </c>
      <c r="H16" s="45">
        <v>2569201.7999999998</v>
      </c>
      <c r="I16" s="45">
        <f>J16+K16-49.85</f>
        <v>4155489.23</v>
      </c>
      <c r="J16" s="45">
        <v>642350.30000000005</v>
      </c>
      <c r="K16" s="45">
        <v>3513188.78</v>
      </c>
      <c r="L16" s="45">
        <v>1069537.6499999999</v>
      </c>
      <c r="M16" s="38"/>
      <c r="N16" s="42"/>
      <c r="O16" s="42"/>
      <c r="P16" s="45">
        <v>1778001.8</v>
      </c>
      <c r="Q16" s="45">
        <v>4280082.34</v>
      </c>
      <c r="R16" s="45">
        <v>444550.3</v>
      </c>
      <c r="S16" s="45">
        <v>3835532.04</v>
      </c>
      <c r="T16" s="45">
        <f>P16</f>
        <v>1778001.8</v>
      </c>
      <c r="U16" s="45">
        <f>V16+W16</f>
        <v>4198182.34</v>
      </c>
      <c r="V16" s="45">
        <f>R16</f>
        <v>444550.3</v>
      </c>
      <c r="W16" s="45">
        <v>3753632.04</v>
      </c>
    </row>
    <row r="17" spans="1:23" s="25" customFormat="1" x14ac:dyDescent="0.25">
      <c r="A17" s="233"/>
      <c r="B17" s="37" t="s">
        <v>1</v>
      </c>
      <c r="C17" s="37"/>
      <c r="D17" s="37"/>
      <c r="E17" s="37"/>
      <c r="F17" s="37"/>
      <c r="G17" s="44">
        <f t="shared" si="3"/>
        <v>0</v>
      </c>
      <c r="H17" s="8"/>
      <c r="I17" s="8">
        <f t="shared" ref="I17:I19" si="4">J17+K17</f>
        <v>0</v>
      </c>
      <c r="J17" s="8"/>
      <c r="K17" s="8"/>
      <c r="L17" s="8"/>
      <c r="M17" s="38"/>
      <c r="N17" s="42"/>
      <c r="O17" s="42"/>
      <c r="P17" s="8"/>
      <c r="Q17" s="8">
        <f t="shared" ref="Q17:Q19" si="5">R17+S17</f>
        <v>3835532.04</v>
      </c>
      <c r="R17" s="8"/>
      <c r="S17" s="8">
        <f>S16</f>
        <v>3835532.04</v>
      </c>
      <c r="T17" s="8"/>
      <c r="U17" s="8">
        <f t="shared" ref="U17:U19" si="6">V17+W17</f>
        <v>3753632.04</v>
      </c>
      <c r="V17" s="8"/>
      <c r="W17" s="8">
        <f>W16</f>
        <v>3753632.04</v>
      </c>
    </row>
    <row r="18" spans="1:23" s="25" customFormat="1" ht="19.5" customHeight="1" x14ac:dyDescent="0.25">
      <c r="A18" s="236" t="s">
        <v>4</v>
      </c>
      <c r="B18" s="34" t="s">
        <v>2</v>
      </c>
      <c r="C18" s="34">
        <v>0</v>
      </c>
      <c r="D18" s="34">
        <v>3516428.06</v>
      </c>
      <c r="E18" s="34">
        <v>0</v>
      </c>
      <c r="F18" s="34">
        <v>2884904.81</v>
      </c>
      <c r="G18" s="44">
        <f t="shared" si="3"/>
        <v>3513188.78</v>
      </c>
      <c r="H18" s="8"/>
      <c r="I18" s="8">
        <f t="shared" si="4"/>
        <v>3513188.78</v>
      </c>
      <c r="J18" s="8"/>
      <c r="K18" s="8">
        <f>K16</f>
        <v>3513188.78</v>
      </c>
      <c r="L18" s="8"/>
      <c r="M18" s="64"/>
      <c r="N18" s="18"/>
      <c r="O18" s="18"/>
      <c r="P18" s="8"/>
      <c r="Q18" s="8">
        <f t="shared" si="5"/>
        <v>0</v>
      </c>
      <c r="R18" s="8"/>
      <c r="S18" s="8"/>
      <c r="T18" s="8"/>
      <c r="U18" s="8">
        <f t="shared" si="6"/>
        <v>0</v>
      </c>
      <c r="V18" s="8"/>
      <c r="W18" s="8"/>
    </row>
    <row r="19" spans="1:23" s="41" customFormat="1" ht="309" customHeight="1" x14ac:dyDescent="0.25">
      <c r="A19" s="236" t="s">
        <v>7</v>
      </c>
      <c r="B19" s="39" t="s">
        <v>13</v>
      </c>
      <c r="C19" s="39">
        <f>C16-C18</f>
        <v>2329500</v>
      </c>
      <c r="D19" s="39">
        <f t="shared" ref="D19:E19" si="7">D16-D18</f>
        <v>1021445.4899999998</v>
      </c>
      <c r="E19" s="39">
        <f t="shared" si="7"/>
        <v>1997803.53</v>
      </c>
      <c r="F19" s="227">
        <v>916521.38</v>
      </c>
      <c r="G19" s="44">
        <f t="shared" si="3"/>
        <v>0</v>
      </c>
      <c r="H19" s="61"/>
      <c r="I19" s="8">
        <f t="shared" si="4"/>
        <v>0</v>
      </c>
      <c r="J19" s="61"/>
      <c r="K19" s="61"/>
      <c r="L19" s="8">
        <f>L16</f>
        <v>1069537.6499999999</v>
      </c>
      <c r="M19" s="64" t="s">
        <v>279</v>
      </c>
      <c r="N19" s="9">
        <f>L19</f>
        <v>1069537.6499999999</v>
      </c>
      <c r="O19" s="59"/>
      <c r="P19" s="61"/>
      <c r="Q19" s="8">
        <f t="shared" si="5"/>
        <v>0</v>
      </c>
      <c r="R19" s="61"/>
      <c r="S19" s="61"/>
      <c r="T19" s="61"/>
      <c r="U19" s="8">
        <f t="shared" si="6"/>
        <v>0</v>
      </c>
      <c r="V19" s="61"/>
      <c r="W19" s="61"/>
    </row>
    <row r="20" spans="1:23" s="11" customFormat="1" ht="28.5" x14ac:dyDescent="0.25">
      <c r="A20" s="234">
        <v>3</v>
      </c>
      <c r="B20" s="44" t="s">
        <v>165</v>
      </c>
      <c r="C20" s="44"/>
      <c r="D20" s="44"/>
      <c r="E20" s="44"/>
      <c r="F20" s="44"/>
      <c r="G20" s="44">
        <f t="shared" si="3"/>
        <v>234747.90000000002</v>
      </c>
      <c r="H20" s="45">
        <v>187798.2</v>
      </c>
      <c r="I20" s="45">
        <f t="shared" ref="I20:I23" si="8">J20+K20</f>
        <v>46949.7</v>
      </c>
      <c r="J20" s="45">
        <v>46949.7</v>
      </c>
      <c r="K20" s="45"/>
      <c r="L20" s="8"/>
      <c r="M20" s="34"/>
      <c r="N20" s="59"/>
      <c r="O20" s="59"/>
      <c r="P20" s="45">
        <f>H20</f>
        <v>187798.2</v>
      </c>
      <c r="Q20" s="45">
        <f>I20</f>
        <v>46949.7</v>
      </c>
      <c r="R20" s="45">
        <f>J20</f>
        <v>46949.7</v>
      </c>
      <c r="S20" s="45"/>
      <c r="T20" s="45">
        <f>P20</f>
        <v>187798.2</v>
      </c>
      <c r="U20" s="45">
        <f t="shared" ref="U20:U23" si="9">V20+W20</f>
        <v>46949.7</v>
      </c>
      <c r="V20" s="45">
        <f>R20</f>
        <v>46949.7</v>
      </c>
      <c r="W20" s="45"/>
    </row>
    <row r="21" spans="1:23" s="11" customFormat="1" ht="28.5" x14ac:dyDescent="0.25">
      <c r="A21" s="234">
        <v>4</v>
      </c>
      <c r="B21" s="44" t="s">
        <v>166</v>
      </c>
      <c r="C21" s="44">
        <v>0</v>
      </c>
      <c r="D21" s="34">
        <v>110549.36</v>
      </c>
      <c r="E21" s="44">
        <v>0</v>
      </c>
      <c r="F21" s="34">
        <v>110549.36</v>
      </c>
      <c r="G21" s="44">
        <f t="shared" si="3"/>
        <v>116112.36</v>
      </c>
      <c r="H21" s="45"/>
      <c r="I21" s="45">
        <f t="shared" si="8"/>
        <v>116112.36</v>
      </c>
      <c r="J21" s="45"/>
      <c r="K21" s="45">
        <v>116112.36</v>
      </c>
      <c r="L21" s="8"/>
      <c r="M21" s="34"/>
      <c r="N21" s="59"/>
      <c r="O21" s="59"/>
      <c r="P21" s="45"/>
      <c r="Q21" s="45">
        <f t="shared" ref="Q21:Q23" si="10">R21+S21</f>
        <v>116112.36</v>
      </c>
      <c r="R21" s="45"/>
      <c r="S21" s="45">
        <f>K21</f>
        <v>116112.36</v>
      </c>
      <c r="T21" s="45"/>
      <c r="U21" s="45">
        <f t="shared" si="9"/>
        <v>116112.36</v>
      </c>
      <c r="V21" s="45"/>
      <c r="W21" s="45">
        <f>S21</f>
        <v>116112.36</v>
      </c>
    </row>
    <row r="22" spans="1:23" s="11" customFormat="1" ht="28.5" x14ac:dyDescent="0.25">
      <c r="A22" s="234">
        <v>5</v>
      </c>
      <c r="B22" s="44" t="s">
        <v>167</v>
      </c>
      <c r="C22" s="44">
        <v>0</v>
      </c>
      <c r="D22" s="44">
        <v>10000</v>
      </c>
      <c r="E22" s="44"/>
      <c r="F22" s="44">
        <v>10000</v>
      </c>
      <c r="G22" s="44">
        <f t="shared" si="3"/>
        <v>10000</v>
      </c>
      <c r="H22" s="45"/>
      <c r="I22" s="45">
        <f t="shared" si="8"/>
        <v>10000</v>
      </c>
      <c r="J22" s="45"/>
      <c r="K22" s="45">
        <v>10000</v>
      </c>
      <c r="L22" s="8"/>
      <c r="M22" s="34"/>
      <c r="N22" s="59"/>
      <c r="O22" s="59"/>
      <c r="P22" s="45"/>
      <c r="Q22" s="45">
        <f t="shared" si="10"/>
        <v>10000</v>
      </c>
      <c r="R22" s="45"/>
      <c r="S22" s="45">
        <f>K22</f>
        <v>10000</v>
      </c>
      <c r="T22" s="45"/>
      <c r="U22" s="45">
        <f t="shared" si="9"/>
        <v>10000</v>
      </c>
      <c r="V22" s="45"/>
      <c r="W22" s="45">
        <f>S22</f>
        <v>10000</v>
      </c>
    </row>
    <row r="23" spans="1:23" s="35" customFormat="1" ht="28.5" x14ac:dyDescent="0.25">
      <c r="A23" s="234">
        <v>6</v>
      </c>
      <c r="B23" s="44" t="s">
        <v>168</v>
      </c>
      <c r="C23" s="44">
        <v>3351900</v>
      </c>
      <c r="D23" s="44">
        <v>74190.34</v>
      </c>
      <c r="E23" s="44">
        <f>2904865+438025</f>
        <v>3342890</v>
      </c>
      <c r="F23" s="44">
        <v>74190.34</v>
      </c>
      <c r="G23" s="44">
        <f t="shared" si="3"/>
        <v>3680855.6</v>
      </c>
      <c r="H23" s="45">
        <v>3528500</v>
      </c>
      <c r="I23" s="45">
        <f t="shared" si="8"/>
        <v>152355.6</v>
      </c>
      <c r="J23" s="45"/>
      <c r="K23" s="45">
        <v>152355.6</v>
      </c>
      <c r="L23" s="8"/>
      <c r="M23" s="13"/>
      <c r="N23" s="59"/>
      <c r="O23" s="59"/>
      <c r="P23" s="45">
        <f>H23</f>
        <v>3528500</v>
      </c>
      <c r="Q23" s="45">
        <f t="shared" si="10"/>
        <v>152355.6</v>
      </c>
      <c r="R23" s="45"/>
      <c r="S23" s="45">
        <f>K23</f>
        <v>152355.6</v>
      </c>
      <c r="T23" s="45">
        <f>P23</f>
        <v>3528500</v>
      </c>
      <c r="U23" s="45">
        <f t="shared" si="9"/>
        <v>152355.6</v>
      </c>
      <c r="V23" s="45"/>
      <c r="W23" s="45">
        <f>S23</f>
        <v>152355.6</v>
      </c>
    </row>
    <row r="24" spans="1:23" s="35" customFormat="1" ht="14.45" x14ac:dyDescent="0.3">
      <c r="A24" s="234"/>
      <c r="B24" s="44"/>
      <c r="C24" s="44"/>
      <c r="D24" s="44"/>
      <c r="E24" s="44"/>
      <c r="G24" s="44"/>
      <c r="H24" s="45"/>
      <c r="I24" s="45"/>
      <c r="J24" s="45"/>
      <c r="K24" s="45"/>
      <c r="L24" s="8"/>
      <c r="M24" s="13"/>
      <c r="N24" s="59"/>
      <c r="O24" s="59"/>
      <c r="P24" s="45"/>
      <c r="Q24" s="45"/>
      <c r="R24" s="45"/>
      <c r="S24" s="45"/>
      <c r="T24" s="45"/>
      <c r="U24" s="45"/>
      <c r="V24" s="45"/>
      <c r="W24" s="45"/>
    </row>
    <row r="25" spans="1:23" s="35" customFormat="1" x14ac:dyDescent="0.25">
      <c r="A25" s="237"/>
      <c r="B25" s="15" t="s">
        <v>14</v>
      </c>
      <c r="C25" s="15">
        <f>C12+C16+C20+C21+C22+C23+C24</f>
        <v>5681400</v>
      </c>
      <c r="D25" s="15">
        <f t="shared" ref="D25:E25" si="11">D12+D16+D20+D21+D22+D23+D24</f>
        <v>5610773.9199999999</v>
      </c>
      <c r="E25" s="15">
        <f t="shared" si="11"/>
        <v>5340693.53</v>
      </c>
      <c r="F25" s="15">
        <f>F12+F16+F20+F21+F22+F23+F19</f>
        <v>4833573.18</v>
      </c>
      <c r="G25" s="44">
        <f t="shared" si="3"/>
        <v>11663684.33</v>
      </c>
      <c r="H25" s="16">
        <f>SUM(H20:H23)+H16+H12</f>
        <v>6285500</v>
      </c>
      <c r="I25" s="16">
        <f>I12+I16+I20+I21+I22+I23</f>
        <v>5378184.3300000001</v>
      </c>
      <c r="J25" s="16">
        <f>J16+J20</f>
        <v>689300</v>
      </c>
      <c r="K25" s="16">
        <f>K12+K16+K21+K22+K23</f>
        <v>4688934.18</v>
      </c>
      <c r="L25" s="16">
        <f>L12+L16</f>
        <v>1158337.6499999999</v>
      </c>
      <c r="M25" s="16">
        <f t="shared" ref="M25" si="12">M12+M16</f>
        <v>0</v>
      </c>
      <c r="N25" s="18">
        <f>SUM(N12:N24)</f>
        <v>1069537.6499999999</v>
      </c>
      <c r="O25" s="177">
        <f>SUM(O12:O24)</f>
        <v>0</v>
      </c>
      <c r="P25" s="16">
        <f>P16+P20+P23</f>
        <v>5494300</v>
      </c>
      <c r="Q25" s="16">
        <f>Q16+Q20+Q21+Q22+Q23</f>
        <v>4605500</v>
      </c>
      <c r="R25" s="16">
        <f>R16+R20</f>
        <v>491500</v>
      </c>
      <c r="S25" s="16">
        <f>S16+S21+S22+S23</f>
        <v>4114000</v>
      </c>
      <c r="T25" s="16">
        <f>T16+T20+T23</f>
        <v>5494300</v>
      </c>
      <c r="U25" s="16">
        <f>U16+U20+U21+U22+U23</f>
        <v>4523600</v>
      </c>
      <c r="V25" s="16">
        <f>V16+V20</f>
        <v>491500</v>
      </c>
      <c r="W25" s="16">
        <f>W16+W21+W22+W23</f>
        <v>4032100</v>
      </c>
    </row>
    <row r="29" spans="1:23" ht="14.45" x14ac:dyDescent="0.3">
      <c r="E29" s="2">
        <f>D25*1.04</f>
        <v>5835204.8767999997</v>
      </c>
    </row>
  </sheetData>
  <customSheetViews>
    <customSheetView guid="{F55D2626-B25D-4865-88D7-A4040A583D45}" scale="90" showPageBreaks="1" fitToPage="1" hiddenRows="1" topLeftCell="D1">
      <pane ySplit="11" topLeftCell="A20" activePane="bottomLeft" state="frozen"/>
      <selection pane="bottomLeft" activeCell="N25" sqref="N25:O25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90" showPageBreaks="1" fitToPage="1" topLeftCell="E1">
      <pane ySplit="11" topLeftCell="A24" activePane="bottomLeft" state="frozen"/>
      <selection pane="bottomLeft" activeCell="O15" sqref="O15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K14" sqref="K14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80" showPageBreaks="1" fitToPage="1">
      <pane ySplit="11" topLeftCell="A21" activePane="bottomLeft" state="frozen"/>
      <selection pane="bottomLeft" activeCell="D24" sqref="D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80" fitToPage="1">
      <pane ySplit="11" topLeftCell="A12" activePane="bottomLeft" state="frozen"/>
      <selection pane="bottomLeft" activeCell="F14" sqref="F14: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80" showPageBreaks="1" fitToPage="1">
      <pane ySplit="11" topLeftCell="A12" activePane="bottomLeft" state="frozen"/>
      <selection pane="bottomLeft" activeCell="C24" sqref="C24:D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80" fitToPage="1">
      <pane ySplit="11" topLeftCell="A21" activePane="bottomLeft" state="frozen"/>
      <selection pane="bottomLeft" activeCell="C24" sqref="C24:D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A5DBAE43-8F82-4F4D-9055-3A08EB5E7494}" scale="90" fitToPage="1" hiddenRows="1">
      <pane ySplit="11" topLeftCell="A39" activePane="bottomLeft" state="frozen"/>
      <selection pane="bottomLeft" activeCell="A17" sqref="A17:XFD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80D9E77B-0FDF-47F7-9E67-DE30E0CF7473}" scale="90" showPageBreaks="1" fitToPage="1" hiddenRows="1">
      <pane ySplit="11" topLeftCell="A12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2DCCB647-6BFB-4F2E-B13D-18849C971762}" scale="90" fitToPage="1" hiddenRows="1" topLeftCell="E1">
      <pane ySplit="11" topLeftCell="A15" activePane="bottomLeft" state="frozen"/>
      <selection pane="bottomLeft" activeCell="H39" sqref="H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BE83DB2-6774-48C6-92AB-2B7F8E9B28FE}" scale="90" fitToPage="1" hiddenRows="1">
      <pane ySplit="11" topLeftCell="A12" activePane="bottomLeft" state="frozen"/>
      <selection pane="bottomLeft" activeCell="B13" sqref="B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802963C4-0B26-4FAC-BA6A-4A8F0B5EEF6E}" scale="90" showPageBreaks="1" fitToPage="1" hiddenRows="1">
      <pane ySplit="11" topLeftCell="A12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29B9ECE6-FCA1-4FB1-A261-60DAFF74F5A0}" scale="90" fitToPage="1" hiddenRows="1">
      <pane ySplit="11" topLeftCell="A18" activePane="bottomLeft" state="frozen"/>
      <selection pane="bottomLeft" activeCell="A39" sqref="A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AB2344E8-B2B4-4FED-B00F-4FC936E289CA}" scale="90" fitToPage="1" hiddenRows="1">
      <pane ySplit="11" topLeftCell="A12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2EF908A7-3CB6-44E9-B36E-C5E6228059C9}" scale="90" fitToPage="1" hiddenRows="1">
      <pane ySplit="11" topLeftCell="A18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49CFD9BB-4553-4961-98FA-54D606D77CB3}" scale="90" showPageBreaks="1" fitToPage="1" hiddenRows="1">
      <pane ySplit="11" topLeftCell="A12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6"/>
    </customSheetView>
    <customSheetView guid="{3EDDB5B9-BC77-4202-8F70-9C3651D44459}" scale="90" fitToPage="1" hiddenRows="1">
      <pane ySplit="11" topLeftCell="A18" activePane="bottomLeft" state="frozen"/>
      <selection pane="bottomLeft" activeCell="H45" sqref="H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7"/>
    </customSheetView>
    <customSheetView guid="{E8D276FA-C068-4D2C-854E-6CC3B576A81F}" scale="90" showPageBreaks="1" fitToPage="1" hiddenRows="1">
      <pane ySplit="11" topLeftCell="A18" activePane="bottomLeft" state="frozen"/>
      <selection pane="bottomLeft" activeCell="H45" sqref="H4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8"/>
    </customSheetView>
    <customSheetView guid="{F703C042-0718-476E-AC4E-A7D8272E3D5D}" scale="90" showPageBreaks="1" fitToPage="1" hiddenRows="1">
      <pane ySplit="11" topLeftCell="A12" activePane="bottomLeft" state="frozen"/>
      <selection pane="bottomLeft" activeCell="E21" sqref="E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9"/>
    </customSheetView>
    <customSheetView guid="{76DE8D8D-0AE0-44F4-9134-4F50A4AF1423}" scale="90" fitToPage="1" hiddenRows="1">
      <pane ySplit="11" topLeftCell="A41" activePane="bottomLeft" state="frozen"/>
      <selection pane="bottomLeft" activeCell="A17" sqref="A17:XFD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0"/>
    </customSheetView>
    <customSheetView guid="{252DDAAD-7623-465E-8DD1-187342A6B6D8}" scale="90" showPageBreaks="1" fitToPage="1">
      <pane ySplit="11" topLeftCell="A21" activePane="bottomLeft" state="frozen"/>
      <selection pane="bottomLeft" activeCell="E32" sqref="E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1"/>
    </customSheetView>
    <customSheetView guid="{D8A19DD2-30A5-49C4-B365-269F2931D330}" scale="90" showPageBreaks="1" fitToPage="1" hiddenRows="1">
      <pane ySplit="11" topLeftCell="A18" activePane="bottomLeft" state="frozen"/>
      <selection pane="bottomLeft" activeCell="A39" sqref="A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2"/>
    </customSheetView>
    <customSheetView guid="{6D6F00BA-5393-49B6-B3BC-C80F08FA7E30}" scale="90" showPageBreaks="1" fitToPage="1" hiddenRows="1" topLeftCell="E1">
      <pane ySplit="11" topLeftCell="A18" activePane="bottomLeft" state="frozen"/>
      <selection pane="bottomLeft" activeCell="P14" sqref="P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3"/>
    </customSheetView>
    <customSheetView guid="{887BBBC8-E1A3-4468-951B-36A5511E64E6}" scale="80" showPageBreaks="1" fitToPage="1">
      <pane ySplit="11" topLeftCell="A12" activePane="bottomLeft" state="frozen"/>
      <selection pane="bottomLeft" activeCell="A31" sqref="A31:XFD3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4"/>
    </customSheetView>
    <customSheetView guid="{45FCA6AB-AB6F-4F22-9438-33A76E5A8860}" scale="90" showPageBreaks="1" fitToPage="1" hiddenRows="1">
      <pane ySplit="11" topLeftCell="A18" activePane="bottomLeft" state="frozen"/>
      <selection pane="bottomLeft" activeCell="A39" sqref="A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5"/>
    </customSheetView>
    <customSheetView guid="{0D720A5F-1A01-491E-B456-8B8A613064CA}" scale="90" showPageBreaks="1" fitToPage="1" hiddenRows="1">
      <pane ySplit="11" topLeftCell="A18" activePane="bottomLeft" state="frozen"/>
      <selection pane="bottomLeft" activeCell="A39" sqref="A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6"/>
    </customSheetView>
    <customSheetView guid="{D5197AC6-1A58-48A0-AB21-B9E0EBB01937}" scale="90" showPageBreaks="1" fitToPage="1" hiddenRows="1">
      <pane ySplit="11" topLeftCell="A18" activePane="bottomLeft" state="frozen"/>
      <selection pane="bottomLeft" activeCell="A39" sqref="A3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7"/>
    </customSheetView>
    <customSheetView guid="{5E847525-B5B0-4151-9870-F971B482221C}" scale="90" showPageBreaks="1" fitToPage="1" hiddenRows="1" topLeftCell="D1">
      <pane ySplit="11" topLeftCell="A16" activePane="bottomLeft" state="frozen"/>
      <selection pane="bottomLeft" activeCell="J8" sqref="J8:J1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28"/>
    </customSheetView>
    <customSheetView guid="{F096868F-4D12-4AA8-9A60-4F727A578110}" scale="90" showPageBreaks="1" fitToPage="1" hiddenRows="1">
      <pane ySplit="11" topLeftCell="A12" activePane="bottomLeft" state="frozen"/>
      <selection pane="bottomLeft" activeCell="C7" sqref="C7:F10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9"/>
    </customSheetView>
  </customSheetViews>
  <mergeCells count="34">
    <mergeCell ref="N6:N10"/>
    <mergeCell ref="O6:O10"/>
    <mergeCell ref="J9:J10"/>
    <mergeCell ref="K9:K10"/>
    <mergeCell ref="R9:R10"/>
    <mergeCell ref="L8:L10"/>
    <mergeCell ref="M8:M10"/>
    <mergeCell ref="S9:S10"/>
    <mergeCell ref="V9:V10"/>
    <mergeCell ref="P7:P10"/>
    <mergeCell ref="Q7:S7"/>
    <mergeCell ref="T7:T10"/>
    <mergeCell ref="U7:W7"/>
    <mergeCell ref="R8:S8"/>
    <mergeCell ref="Q8:Q10"/>
    <mergeCell ref="U8:U10"/>
    <mergeCell ref="V8:W8"/>
    <mergeCell ref="W9:W10"/>
    <mergeCell ref="C6:F6"/>
    <mergeCell ref="G6:G10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</mergeCells>
  <pageMargins left="0.31496062992125984" right="0.31496062992125984" top="0.35433070866141736" bottom="0.35433070866141736" header="0.31496062992125984" footer="0.31496062992125984"/>
  <pageSetup paperSize="9" scale="28" fitToHeight="2" orientation="landscape" verticalDpi="180" r:id="rId3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X30"/>
  <sheetViews>
    <sheetView topLeftCell="A4" zoomScale="80" zoomScaleNormal="80" workbookViewId="0">
      <pane xSplit="2" ySplit="8" topLeftCell="C16" activePane="bottomRight" state="frozen"/>
      <selection activeCell="A4" sqref="A4"/>
      <selection pane="topRight" activeCell="C4" sqref="C4"/>
      <selection pane="bottomLeft" activeCell="A12" sqref="A12"/>
      <selection pane="bottomRight" activeCell="K16" sqref="K16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7.7109375" style="2" customWidth="1"/>
    <col min="4" max="4" width="18.140625" style="2" customWidth="1"/>
    <col min="5" max="5" width="19" style="2" customWidth="1"/>
    <col min="6" max="6" width="15.42578125" style="2" customWidth="1"/>
    <col min="7" max="8" width="19.5703125" style="2" customWidth="1"/>
    <col min="9" max="9" width="16" style="2" customWidth="1"/>
    <col min="10" max="11" width="19.5703125" style="2" customWidth="1"/>
    <col min="12" max="12" width="66.7109375" style="2" customWidth="1"/>
    <col min="13" max="14" width="22.28515625" style="2" customWidth="1"/>
    <col min="15" max="22" width="19.5703125" style="2" customWidth="1"/>
    <col min="23" max="24" width="9.140625" style="19"/>
    <col min="25" max="16384" width="9.140625" style="2"/>
  </cols>
  <sheetData>
    <row r="2" spans="1:22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</row>
    <row r="3" spans="1:22" ht="6" customHeight="1" x14ac:dyDescent="0.3"/>
    <row r="4" spans="1:22" s="19" customFormat="1" ht="42.75" customHeight="1" x14ac:dyDescent="0.3">
      <c r="A4" s="304" t="s">
        <v>44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</row>
    <row r="5" spans="1:22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  <c r="T5" s="20"/>
      <c r="U5" s="20"/>
      <c r="V5" s="20"/>
    </row>
    <row r="6" spans="1:22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92" t="s">
        <v>21</v>
      </c>
      <c r="H6" s="293"/>
      <c r="I6" s="293"/>
      <c r="J6" s="293"/>
      <c r="K6" s="293"/>
      <c r="L6" s="294"/>
      <c r="M6" s="285" t="s">
        <v>447</v>
      </c>
      <c r="N6" s="285" t="s">
        <v>448</v>
      </c>
      <c r="O6" s="277" t="s">
        <v>22</v>
      </c>
      <c r="P6" s="277"/>
      <c r="Q6" s="277"/>
      <c r="R6" s="277"/>
      <c r="S6" s="277" t="s">
        <v>41</v>
      </c>
      <c r="T6" s="277"/>
      <c r="U6" s="277"/>
      <c r="V6" s="277"/>
    </row>
    <row r="7" spans="1:22" s="19" customFormat="1" ht="47.25" customHeight="1" x14ac:dyDescent="0.25">
      <c r="A7" s="270"/>
      <c r="B7" s="271"/>
      <c r="C7" s="282" t="s">
        <v>396</v>
      </c>
      <c r="D7" s="283"/>
      <c r="E7" s="282" t="s">
        <v>397</v>
      </c>
      <c r="F7" s="283"/>
      <c r="G7" s="283" t="s">
        <v>8</v>
      </c>
      <c r="H7" s="274" t="s">
        <v>23</v>
      </c>
      <c r="I7" s="275"/>
      <c r="J7" s="275"/>
      <c r="K7" s="271" t="s">
        <v>24</v>
      </c>
      <c r="L7" s="271"/>
      <c r="M7" s="286"/>
      <c r="N7" s="286"/>
      <c r="O7" s="271" t="s">
        <v>8</v>
      </c>
      <c r="P7" s="274" t="s">
        <v>23</v>
      </c>
      <c r="Q7" s="275"/>
      <c r="R7" s="275"/>
      <c r="S7" s="271" t="s">
        <v>8</v>
      </c>
      <c r="T7" s="276" t="s">
        <v>23</v>
      </c>
      <c r="U7" s="276"/>
      <c r="V7" s="276"/>
    </row>
    <row r="8" spans="1:22" s="19" customFormat="1" ht="18.75" customHeight="1" x14ac:dyDescent="0.25">
      <c r="A8" s="270"/>
      <c r="B8" s="271"/>
      <c r="C8" s="272" t="s">
        <v>8</v>
      </c>
      <c r="D8" s="272" t="s">
        <v>410</v>
      </c>
      <c r="E8" s="271" t="s">
        <v>8</v>
      </c>
      <c r="F8" s="271" t="s">
        <v>410</v>
      </c>
      <c r="G8" s="283"/>
      <c r="H8" s="271" t="s">
        <v>15</v>
      </c>
      <c r="I8" s="276" t="s">
        <v>16</v>
      </c>
      <c r="J8" s="276"/>
      <c r="K8" s="288" t="s">
        <v>9</v>
      </c>
      <c r="L8" s="272" t="s">
        <v>20</v>
      </c>
      <c r="M8" s="286"/>
      <c r="N8" s="286"/>
      <c r="O8" s="271"/>
      <c r="P8" s="271" t="s">
        <v>15</v>
      </c>
      <c r="Q8" s="276" t="s">
        <v>16</v>
      </c>
      <c r="R8" s="276"/>
      <c r="S8" s="271"/>
      <c r="T8" s="271" t="s">
        <v>15</v>
      </c>
      <c r="U8" s="276" t="s">
        <v>16</v>
      </c>
      <c r="V8" s="276"/>
    </row>
    <row r="9" spans="1:22" s="19" customFormat="1" ht="39.75" customHeight="1" x14ac:dyDescent="0.25">
      <c r="A9" s="270"/>
      <c r="B9" s="271"/>
      <c r="C9" s="284"/>
      <c r="D9" s="284"/>
      <c r="E9" s="271"/>
      <c r="F9" s="271"/>
      <c r="G9" s="283"/>
      <c r="H9" s="271"/>
      <c r="I9" s="271" t="s">
        <v>17</v>
      </c>
      <c r="J9" s="272" t="s">
        <v>18</v>
      </c>
      <c r="K9" s="289"/>
      <c r="L9" s="284"/>
      <c r="M9" s="286"/>
      <c r="N9" s="286"/>
      <c r="O9" s="271"/>
      <c r="P9" s="271"/>
      <c r="Q9" s="271" t="s">
        <v>17</v>
      </c>
      <c r="R9" s="272" t="s">
        <v>18</v>
      </c>
      <c r="S9" s="271"/>
      <c r="T9" s="271"/>
      <c r="U9" s="271" t="s">
        <v>17</v>
      </c>
      <c r="V9" s="272" t="s">
        <v>18</v>
      </c>
    </row>
    <row r="10" spans="1:22" s="19" customFormat="1" ht="62.25" customHeight="1" x14ac:dyDescent="0.25">
      <c r="A10" s="270"/>
      <c r="B10" s="271"/>
      <c r="C10" s="273"/>
      <c r="D10" s="273"/>
      <c r="E10" s="271"/>
      <c r="F10" s="271"/>
      <c r="G10" s="283"/>
      <c r="H10" s="271"/>
      <c r="I10" s="271"/>
      <c r="J10" s="273"/>
      <c r="K10" s="290"/>
      <c r="L10" s="273"/>
      <c r="M10" s="287"/>
      <c r="N10" s="287"/>
      <c r="O10" s="271"/>
      <c r="P10" s="271"/>
      <c r="Q10" s="271"/>
      <c r="R10" s="273"/>
      <c r="S10" s="271"/>
      <c r="T10" s="271"/>
      <c r="U10" s="271"/>
      <c r="V10" s="273"/>
    </row>
    <row r="11" spans="1:22" s="245" customFormat="1" ht="16.5" customHeight="1" x14ac:dyDescent="0.3">
      <c r="A11" s="233">
        <v>1</v>
      </c>
      <c r="B11" s="238">
        <v>2</v>
      </c>
      <c r="C11" s="238"/>
      <c r="D11" s="238"/>
      <c r="E11" s="238"/>
      <c r="F11" s="238"/>
      <c r="G11" s="244">
        <v>3</v>
      </c>
      <c r="H11" s="233">
        <v>4</v>
      </c>
      <c r="I11" s="238">
        <v>5</v>
      </c>
      <c r="J11" s="244">
        <v>6</v>
      </c>
      <c r="K11" s="238">
        <v>7</v>
      </c>
      <c r="L11" s="244">
        <v>8</v>
      </c>
      <c r="M11" s="249"/>
      <c r="N11" s="249"/>
      <c r="O11" s="244">
        <v>9</v>
      </c>
      <c r="P11" s="233">
        <v>10</v>
      </c>
      <c r="Q11" s="238">
        <v>11</v>
      </c>
      <c r="R11" s="244">
        <v>12</v>
      </c>
      <c r="S11" s="244">
        <v>13</v>
      </c>
      <c r="T11" s="233">
        <v>14</v>
      </c>
      <c r="U11" s="238">
        <v>15</v>
      </c>
      <c r="V11" s="244">
        <v>16</v>
      </c>
    </row>
    <row r="12" spans="1:22" s="29" customFormat="1" ht="30" x14ac:dyDescent="0.25">
      <c r="A12" s="241">
        <v>1</v>
      </c>
      <c r="B12" s="22" t="s">
        <v>29</v>
      </c>
      <c r="C12" s="221">
        <f t="shared" ref="C12:K12" si="0">C14+C15+C16+C17</f>
        <v>0</v>
      </c>
      <c r="D12" s="221">
        <f t="shared" si="0"/>
        <v>78883650.419999987</v>
      </c>
      <c r="E12" s="221">
        <f t="shared" si="0"/>
        <v>0</v>
      </c>
      <c r="F12" s="221">
        <f t="shared" si="0"/>
        <v>57373072.399999991</v>
      </c>
      <c r="G12" s="23">
        <f t="shared" si="0"/>
        <v>0</v>
      </c>
      <c r="H12" s="23">
        <f t="shared" si="0"/>
        <v>72760752.710000008</v>
      </c>
      <c r="I12" s="23">
        <f t="shared" si="0"/>
        <v>0</v>
      </c>
      <c r="J12" s="23">
        <f t="shared" si="0"/>
        <v>72760752.710000008</v>
      </c>
      <c r="K12" s="23">
        <f t="shared" si="0"/>
        <v>18333054.520000003</v>
      </c>
      <c r="L12" s="24"/>
      <c r="M12" s="73"/>
      <c r="N12" s="73"/>
      <c r="O12" s="23">
        <f t="shared" ref="O12:V12" si="1">O14+O15+O16+O17</f>
        <v>0</v>
      </c>
      <c r="P12" s="23">
        <f t="shared" si="1"/>
        <v>59902500</v>
      </c>
      <c r="Q12" s="23">
        <f t="shared" si="1"/>
        <v>0</v>
      </c>
      <c r="R12" s="23">
        <f t="shared" si="1"/>
        <v>59902500</v>
      </c>
      <c r="S12" s="23">
        <f t="shared" si="1"/>
        <v>0</v>
      </c>
      <c r="T12" s="23">
        <f t="shared" si="1"/>
        <v>58837500</v>
      </c>
      <c r="U12" s="23">
        <f t="shared" si="1"/>
        <v>0</v>
      </c>
      <c r="V12" s="23">
        <f t="shared" si="1"/>
        <v>58837500</v>
      </c>
    </row>
    <row r="13" spans="1:22" s="25" customFormat="1" x14ac:dyDescent="0.25">
      <c r="A13" s="242"/>
      <c r="B13" s="27" t="s">
        <v>1</v>
      </c>
      <c r="C13" s="27"/>
      <c r="D13" s="27"/>
      <c r="E13" s="27"/>
      <c r="F13" s="27"/>
      <c r="G13" s="23"/>
      <c r="H13" s="23">
        <f t="shared" ref="H13:H17" si="2">I13+J13</f>
        <v>0</v>
      </c>
      <c r="I13" s="23"/>
      <c r="J13" s="23"/>
      <c r="K13" s="23"/>
      <c r="L13" s="24"/>
      <c r="M13" s="73"/>
      <c r="N13" s="73"/>
      <c r="O13" s="23"/>
      <c r="P13" s="23">
        <f t="shared" ref="P13:P17" si="3">Q13+R13</f>
        <v>0</v>
      </c>
      <c r="Q13" s="23"/>
      <c r="R13" s="23"/>
      <c r="S13" s="23"/>
      <c r="T13" s="23">
        <f t="shared" ref="T13:T17" si="4">U13+V13</f>
        <v>0</v>
      </c>
      <c r="U13" s="23"/>
      <c r="V13" s="23"/>
    </row>
    <row r="14" spans="1:22" s="25" customFormat="1" x14ac:dyDescent="0.25">
      <c r="A14" s="243" t="s">
        <v>4</v>
      </c>
      <c r="B14" s="28" t="s">
        <v>2</v>
      </c>
      <c r="C14" s="28"/>
      <c r="D14" s="28">
        <v>57007505.299999997</v>
      </c>
      <c r="E14" s="28"/>
      <c r="F14" s="28">
        <v>45701819.619999997</v>
      </c>
      <c r="G14" s="23"/>
      <c r="H14" s="23">
        <f t="shared" si="2"/>
        <v>59484633.259999998</v>
      </c>
      <c r="I14" s="23"/>
      <c r="J14" s="23">
        <f>56218626.28+3266006.98</f>
        <v>59484633.259999998</v>
      </c>
      <c r="K14" s="23"/>
      <c r="L14" s="24"/>
      <c r="M14" s="73"/>
      <c r="N14" s="73"/>
      <c r="O14" s="23"/>
      <c r="P14" s="23">
        <v>46078846</v>
      </c>
      <c r="Q14" s="23"/>
      <c r="R14" s="23">
        <v>46078846</v>
      </c>
      <c r="S14" s="23"/>
      <c r="T14" s="23">
        <f t="shared" si="4"/>
        <v>45800300</v>
      </c>
      <c r="U14" s="23"/>
      <c r="V14" s="23">
        <v>45800300</v>
      </c>
    </row>
    <row r="15" spans="1:22" s="25" customFormat="1" ht="126" customHeight="1" x14ac:dyDescent="0.25">
      <c r="A15" s="243" t="s">
        <v>5</v>
      </c>
      <c r="B15" s="30" t="s">
        <v>10</v>
      </c>
      <c r="C15" s="30"/>
      <c r="D15" s="30">
        <v>3156503.87</v>
      </c>
      <c r="E15" s="30"/>
      <c r="F15" s="30">
        <v>2196929.58</v>
      </c>
      <c r="G15" s="23"/>
      <c r="H15" s="23">
        <f t="shared" si="2"/>
        <v>3276119.45</v>
      </c>
      <c r="I15" s="23"/>
      <c r="J15" s="23">
        <f>2893673.72+382445.73</f>
        <v>3276119.45</v>
      </c>
      <c r="K15" s="23">
        <f>382445.73-382445.73</f>
        <v>0</v>
      </c>
      <c r="L15" s="222" t="s">
        <v>359</v>
      </c>
      <c r="M15" s="223"/>
      <c r="N15" s="223"/>
      <c r="O15" s="23"/>
      <c r="P15" s="23">
        <f t="shared" si="3"/>
        <v>2003004</v>
      </c>
      <c r="Q15" s="23"/>
      <c r="R15" s="23">
        <v>2003004</v>
      </c>
      <c r="S15" s="23"/>
      <c r="T15" s="23">
        <f t="shared" si="4"/>
        <v>1736550</v>
      </c>
      <c r="U15" s="23"/>
      <c r="V15" s="23">
        <v>1736550</v>
      </c>
    </row>
    <row r="16" spans="1:22" s="29" customFormat="1" ht="207.75" customHeight="1" x14ac:dyDescent="0.25">
      <c r="A16" s="243" t="s">
        <v>6</v>
      </c>
      <c r="B16" s="30" t="s">
        <v>11</v>
      </c>
      <c r="C16" s="30"/>
      <c r="D16" s="30">
        <v>3537055.79</v>
      </c>
      <c r="E16" s="30"/>
      <c r="F16" s="30">
        <v>1852018.22</v>
      </c>
      <c r="G16" s="23"/>
      <c r="H16" s="23">
        <f t="shared" si="2"/>
        <v>10000000</v>
      </c>
      <c r="I16" s="23"/>
      <c r="J16" s="23">
        <f>8000000+2000000</f>
        <v>10000000</v>
      </c>
      <c r="K16" s="23">
        <f>14529476.97-10000000</f>
        <v>4529476.9700000007</v>
      </c>
      <c r="L16" s="222" t="s">
        <v>384</v>
      </c>
      <c r="M16" s="223"/>
      <c r="N16" s="223"/>
      <c r="O16" s="23"/>
      <c r="P16" s="23">
        <f t="shared" si="3"/>
        <v>1100050</v>
      </c>
      <c r="Q16" s="23"/>
      <c r="R16" s="23">
        <v>1100050</v>
      </c>
      <c r="S16" s="23"/>
      <c r="T16" s="23">
        <f t="shared" si="4"/>
        <v>1050350</v>
      </c>
      <c r="U16" s="23"/>
      <c r="V16" s="23">
        <v>1050350</v>
      </c>
    </row>
    <row r="17" spans="1:22" s="29" customFormat="1" ht="319.5" x14ac:dyDescent="0.25">
      <c r="A17" s="243" t="s">
        <v>7</v>
      </c>
      <c r="B17" s="30" t="s">
        <v>13</v>
      </c>
      <c r="C17" s="30"/>
      <c r="D17" s="30">
        <v>15182585.460000001</v>
      </c>
      <c r="E17" s="30"/>
      <c r="F17" s="30">
        <v>7622304.9800000004</v>
      </c>
      <c r="G17" s="31"/>
      <c r="H17" s="23">
        <f t="shared" si="2"/>
        <v>0</v>
      </c>
      <c r="I17" s="31"/>
      <c r="J17" s="31"/>
      <c r="K17" s="31">
        <v>13803577.550000001</v>
      </c>
      <c r="L17" s="224" t="s">
        <v>383</v>
      </c>
      <c r="M17" s="225"/>
      <c r="N17" s="226"/>
      <c r="O17" s="31"/>
      <c r="P17" s="23">
        <f t="shared" si="3"/>
        <v>10720600</v>
      </c>
      <c r="Q17" s="31"/>
      <c r="R17" s="31">
        <v>10720600</v>
      </c>
      <c r="S17" s="31"/>
      <c r="T17" s="23">
        <f t="shared" si="4"/>
        <v>10250300</v>
      </c>
      <c r="U17" s="31"/>
      <c r="V17" s="31">
        <v>10250300</v>
      </c>
    </row>
    <row r="18" spans="1:22" s="29" customFormat="1" ht="21.75" customHeight="1" x14ac:dyDescent="0.25">
      <c r="A18" s="243"/>
      <c r="B18" s="30"/>
      <c r="C18" s="30"/>
      <c r="D18" s="30"/>
      <c r="E18" s="30"/>
      <c r="F18" s="30"/>
      <c r="G18" s="31"/>
      <c r="H18" s="23"/>
      <c r="I18" s="31"/>
      <c r="J18" s="31"/>
      <c r="K18" s="31"/>
      <c r="L18" s="224"/>
      <c r="M18" s="225"/>
      <c r="N18" s="225"/>
      <c r="O18" s="31"/>
      <c r="P18" s="23"/>
      <c r="Q18" s="31"/>
      <c r="R18" s="31"/>
      <c r="S18" s="31"/>
      <c r="T18" s="23"/>
      <c r="U18" s="31"/>
      <c r="V18" s="31"/>
    </row>
    <row r="19" spans="1:22" s="1" customFormat="1" x14ac:dyDescent="0.25">
      <c r="A19" s="237"/>
      <c r="B19" s="15" t="s">
        <v>14</v>
      </c>
      <c r="C19" s="15">
        <f t="shared" ref="C19:M19" si="5">C12</f>
        <v>0</v>
      </c>
      <c r="D19" s="15">
        <f t="shared" si="5"/>
        <v>78883650.419999987</v>
      </c>
      <c r="E19" s="15">
        <f t="shared" si="5"/>
        <v>0</v>
      </c>
      <c r="F19" s="15">
        <f t="shared" si="5"/>
        <v>57373072.399999991</v>
      </c>
      <c r="G19" s="16">
        <f t="shared" si="5"/>
        <v>0</v>
      </c>
      <c r="H19" s="16">
        <f t="shared" si="5"/>
        <v>72760752.710000008</v>
      </c>
      <c r="I19" s="16">
        <f t="shared" si="5"/>
        <v>0</v>
      </c>
      <c r="J19" s="16">
        <f t="shared" si="5"/>
        <v>72760752.710000008</v>
      </c>
      <c r="K19" s="16">
        <f t="shared" si="5"/>
        <v>18333054.520000003</v>
      </c>
      <c r="L19" s="16">
        <f t="shared" si="5"/>
        <v>0</v>
      </c>
      <c r="M19" s="18">
        <f t="shared" si="5"/>
        <v>0</v>
      </c>
      <c r="N19" s="18">
        <f>SUM(N12:N18)</f>
        <v>0</v>
      </c>
      <c r="O19" s="16">
        <f t="shared" ref="O19:V19" si="6">O12</f>
        <v>0</v>
      </c>
      <c r="P19" s="16">
        <f t="shared" si="6"/>
        <v>59902500</v>
      </c>
      <c r="Q19" s="16">
        <f t="shared" si="6"/>
        <v>0</v>
      </c>
      <c r="R19" s="16">
        <f t="shared" si="6"/>
        <v>59902500</v>
      </c>
      <c r="S19" s="16">
        <f t="shared" si="6"/>
        <v>0</v>
      </c>
      <c r="T19" s="16">
        <f t="shared" si="6"/>
        <v>58837500</v>
      </c>
      <c r="U19" s="16">
        <f t="shared" si="6"/>
        <v>0</v>
      </c>
      <c r="V19" s="16">
        <f t="shared" si="6"/>
        <v>58837500</v>
      </c>
    </row>
    <row r="30" spans="1:22" ht="12" customHeight="1" x14ac:dyDescent="0.25"/>
  </sheetData>
  <customSheetViews>
    <customSheetView guid="{F55D2626-B25D-4865-88D7-A4040A583D45}" scale="70" showPageBreaks="1" fitToPage="1" topLeftCell="A4">
      <pane xSplit="2" ySplit="7" topLeftCell="C11" activePane="bottomRight" state="frozen"/>
      <selection pane="bottomRight" activeCell="N17" sqref="N17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"/>
    </customSheetView>
    <customSheetView guid="{9D6C8421-31F4-449D-B427-1D13044E970D}" scale="70" showPageBreaks="1" fitToPage="1" topLeftCell="C17">
      <selection activeCell="N17" sqref="N17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2"/>
    </customSheetView>
    <customSheetView guid="{CCAC52F4-1AE6-4B0C-B39F-86F6AB8E32E1}" scale="90" showPageBreaks="1" fitToPage="1">
      <selection activeCell="F15" sqref="F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3"/>
    </customSheetView>
    <customSheetView guid="{8286488C-3E2A-4969-AFC8-11C0D17DBFA2}" scale="90" showPageBreaks="1" fitToPage="1" topLeftCell="A10">
      <selection activeCell="A18" sqref="A18:XFD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selection activeCell="F15" sqref="F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selection activeCell="A18" sqref="A18:XFD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 topLeftCell="A10">
      <selection activeCell="A18" sqref="A18:XFD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 topLeftCell="A7">
      <selection activeCell="P20" sqref="P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topLeftCell="A15">
      <selection activeCell="A26" sqref="A26:XFD3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topLeftCell="A10">
      <selection activeCell="P20" sqref="P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 topLeftCell="A10">
      <selection activeCell="P20" sqref="P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topLeftCell="A10">
      <selection activeCell="A18" sqref="A18:XFD18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topLeftCell="A15">
      <selection activeCell="A26" sqref="A26:XFD3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topLeftCell="A15">
      <selection activeCell="A26" sqref="A26:XFD37"/>
      <pageMargins left="0.31496062992125984" right="0.31496062992125984" top="0.35433070866141736" bottom="0.35433070866141736" header="0.31496062992125984" footer="0.31496062992125984"/>
      <pageSetup paperSize="9" scale="21" fitToHeight="2" orientation="landscape" verticalDpi="180" r:id="rId14"/>
    </customSheetView>
    <customSheetView guid="{5E847525-B5B0-4151-9870-F971B482221C}" scale="90" showPageBreaks="1" fitToPage="1" topLeftCell="A10">
      <selection activeCell="B16" sqref="B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4" activePane="bottomRight" state="frozen"/>
      <selection pane="bottomRight" activeCell="C6" sqref="C6:F10"/>
      <pageMargins left="0.31496062992125984" right="0.31496062992125984" top="0.35433070866141736" bottom="0.35433070866141736" header="0.31496062992125984" footer="0.31496062992125984"/>
      <pageSetup paperSize="9" scale="28" fitToHeight="2" orientation="landscape" verticalDpi="180" r:id="rId16"/>
    </customSheetView>
  </customSheetViews>
  <mergeCells count="37">
    <mergeCell ref="C6:F6"/>
    <mergeCell ref="C7:D7"/>
    <mergeCell ref="E7:F7"/>
    <mergeCell ref="C8:C10"/>
    <mergeCell ref="D8:D10"/>
    <mergeCell ref="E8:E10"/>
    <mergeCell ref="F8:F10"/>
    <mergeCell ref="U8:V8"/>
    <mergeCell ref="I9:I10"/>
    <mergeCell ref="J9:J10"/>
    <mergeCell ref="Q9:Q10"/>
    <mergeCell ref="R9:R10"/>
    <mergeCell ref="U9:U10"/>
    <mergeCell ref="V9:V10"/>
    <mergeCell ref="O7:O10"/>
    <mergeCell ref="P7:R7"/>
    <mergeCell ref="S7:S10"/>
    <mergeCell ref="T7:V7"/>
    <mergeCell ref="Q8:R8"/>
    <mergeCell ref="M6:M10"/>
    <mergeCell ref="N6:N10"/>
    <mergeCell ref="A2:V2"/>
    <mergeCell ref="A4:V4"/>
    <mergeCell ref="A6:A10"/>
    <mergeCell ref="B6:B10"/>
    <mergeCell ref="G6:L6"/>
    <mergeCell ref="O6:R6"/>
    <mergeCell ref="S6:V6"/>
    <mergeCell ref="G7:G10"/>
    <mergeCell ref="H7:J7"/>
    <mergeCell ref="K7:L7"/>
    <mergeCell ref="H8:H10"/>
    <mergeCell ref="I8:J8"/>
    <mergeCell ref="K8:K10"/>
    <mergeCell ref="L8:L10"/>
    <mergeCell ref="P8:P10"/>
    <mergeCell ref="T8:T10"/>
  </mergeCells>
  <pageMargins left="0.31496062992125984" right="0.31496062992125984" top="0.35433070866141736" bottom="0.35433070866141736" header="0.31496062992125984" footer="0.31496062992125984"/>
  <pageSetup paperSize="9" scale="28" fitToHeight="2" orientation="landscape" verticalDpi="180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4"/>
  <sheetViews>
    <sheetView zoomScale="82" zoomScaleNormal="82" workbookViewId="0">
      <pane ySplit="11" topLeftCell="A31" activePane="bottomLeft" state="frozen"/>
      <selection activeCell="H14" sqref="H14"/>
      <selection pane="bottomLeft" activeCell="K22" sqref="K22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4.28515625" style="2" customWidth="1"/>
    <col min="4" max="4" width="18.85546875" style="2" customWidth="1"/>
    <col min="5" max="5" width="14.28515625" style="2" customWidth="1"/>
    <col min="6" max="7" width="18.85546875" style="2" customWidth="1"/>
    <col min="8" max="8" width="14.28515625" style="2" customWidth="1"/>
    <col min="9" max="9" width="18.85546875" style="2" customWidth="1"/>
    <col min="10" max="10" width="14.28515625" style="2" customWidth="1"/>
    <col min="11" max="11" width="18.85546875" style="2" customWidth="1"/>
    <col min="12" max="12" width="17.5703125" style="2" customWidth="1"/>
    <col min="13" max="13" width="56.4257812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29.25" customHeight="1" x14ac:dyDescent="0.3">
      <c r="A4" s="303" t="s">
        <v>45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104.2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8">
        <v>3</v>
      </c>
      <c r="D11" s="233">
        <v>4</v>
      </c>
      <c r="E11" s="238">
        <v>5</v>
      </c>
      <c r="F11" s="238">
        <v>6</v>
      </c>
      <c r="G11" s="233">
        <v>7</v>
      </c>
      <c r="H11" s="238">
        <v>8</v>
      </c>
      <c r="I11" s="238">
        <v>9</v>
      </c>
      <c r="J11" s="233">
        <v>10</v>
      </c>
      <c r="K11" s="238">
        <v>11</v>
      </c>
      <c r="L11" s="238">
        <v>12</v>
      </c>
      <c r="M11" s="233">
        <v>13</v>
      </c>
      <c r="N11" s="239"/>
      <c r="O11" s="239"/>
      <c r="P11" s="238">
        <v>14</v>
      </c>
      <c r="Q11" s="238">
        <v>15</v>
      </c>
      <c r="R11" s="233">
        <v>16</v>
      </c>
      <c r="S11" s="238">
        <v>17</v>
      </c>
      <c r="T11" s="238">
        <v>18</v>
      </c>
      <c r="U11" s="233">
        <v>19</v>
      </c>
      <c r="V11" s="238">
        <v>20</v>
      </c>
      <c r="W11" s="238">
        <v>21</v>
      </c>
    </row>
    <row r="12" spans="1:23" s="25" customFormat="1" ht="75" x14ac:dyDescent="0.25">
      <c r="A12" s="234">
        <v>1</v>
      </c>
      <c r="B12" s="13" t="s">
        <v>182</v>
      </c>
      <c r="C12" s="216">
        <f>C14+C15+C16+C17+C18</f>
        <v>319406.25</v>
      </c>
      <c r="D12" s="216">
        <f>D14+D15+D16+D17+D18</f>
        <v>51527389.18</v>
      </c>
      <c r="E12" s="216">
        <f>E14+E15+E16+E17+E18</f>
        <v>309514.25</v>
      </c>
      <c r="F12" s="216">
        <f>F14+F15+F16+F17+F18</f>
        <v>39398925.900000006</v>
      </c>
      <c r="G12" s="139">
        <f>H12+I12</f>
        <v>50270888.049999997</v>
      </c>
      <c r="H12" s="8">
        <f>H14+H15+H16+H17+H18</f>
        <v>344800</v>
      </c>
      <c r="I12" s="8">
        <f>J12+K12</f>
        <v>49926088.049999997</v>
      </c>
      <c r="J12" s="8">
        <f>J14+J15+J16+J17+J18</f>
        <v>18151</v>
      </c>
      <c r="K12" s="8">
        <f>K14+K15+K16+K17+K18</f>
        <v>49907937.049999997</v>
      </c>
      <c r="L12" s="8">
        <f>L14+L15+L16+L17+L18</f>
        <v>5558261.25</v>
      </c>
      <c r="M12" s="217"/>
      <c r="N12" s="36"/>
      <c r="O12" s="36"/>
      <c r="P12" s="8">
        <f>P14+P15+P16+P17+P18</f>
        <v>344800</v>
      </c>
      <c r="Q12" s="8">
        <f>R12+S12</f>
        <v>47704921.420000002</v>
      </c>
      <c r="R12" s="8">
        <f>R14+R15+R16+R17+R18</f>
        <v>18151</v>
      </c>
      <c r="S12" s="8">
        <f>S14+S15+S16+S17+S18</f>
        <v>47686770.420000002</v>
      </c>
      <c r="T12" s="8">
        <f>T14+T15+T16+T17+T18</f>
        <v>344800</v>
      </c>
      <c r="U12" s="8">
        <f>V12+W12</f>
        <v>47704921.420000002</v>
      </c>
      <c r="V12" s="8">
        <f>V14+V15+V16+V17+V18</f>
        <v>18151</v>
      </c>
      <c r="W12" s="8">
        <f>W14+W15+W16+W17+W18</f>
        <v>47686770.420000002</v>
      </c>
    </row>
    <row r="13" spans="1:23" s="25" customFormat="1" ht="15.75" x14ac:dyDescent="0.25">
      <c r="A13" s="233"/>
      <c r="B13" s="37" t="s">
        <v>1</v>
      </c>
      <c r="C13" s="13"/>
      <c r="D13" s="13"/>
      <c r="E13" s="13"/>
      <c r="F13" s="13"/>
      <c r="G13" s="139">
        <f t="shared" ref="G13:G34" si="0">H13+I13</f>
        <v>0</v>
      </c>
      <c r="H13" s="8"/>
      <c r="I13" s="8">
        <f t="shared" ref="I13:I18" si="1">J13+K13</f>
        <v>0</v>
      </c>
      <c r="J13" s="8"/>
      <c r="K13" s="8"/>
      <c r="L13" s="8"/>
      <c r="M13" s="217"/>
      <c r="N13" s="36"/>
      <c r="O13" s="36"/>
      <c r="P13" s="8"/>
      <c r="Q13" s="8">
        <f t="shared" ref="Q13:Q18" si="2">R13+S13</f>
        <v>0</v>
      </c>
      <c r="R13" s="8"/>
      <c r="S13" s="8"/>
      <c r="T13" s="8"/>
      <c r="U13" s="8">
        <f t="shared" ref="U13:U18" si="3">V13+W13</f>
        <v>0</v>
      </c>
      <c r="V13" s="8"/>
      <c r="W13" s="8"/>
    </row>
    <row r="14" spans="1:23" s="41" customFormat="1" ht="15.75" x14ac:dyDescent="0.25">
      <c r="A14" s="236" t="s">
        <v>4</v>
      </c>
      <c r="B14" s="34" t="s">
        <v>2</v>
      </c>
      <c r="C14" s="8"/>
      <c r="D14" s="8">
        <v>45359049.189999998</v>
      </c>
      <c r="E14" s="8"/>
      <c r="F14" s="8">
        <v>35426398.890000001</v>
      </c>
      <c r="G14" s="139">
        <f t="shared" si="0"/>
        <v>47863853.219999999</v>
      </c>
      <c r="H14" s="8"/>
      <c r="I14" s="8">
        <f t="shared" si="1"/>
        <v>47863853.219999999</v>
      </c>
      <c r="J14" s="8"/>
      <c r="K14" s="8">
        <f>47704921.42-18151+18151+37194.8+121737</f>
        <v>47863853.219999999</v>
      </c>
      <c r="L14" s="8">
        <f>18151-18151</f>
        <v>0</v>
      </c>
      <c r="M14" s="217"/>
      <c r="N14" s="40"/>
      <c r="O14" s="40"/>
      <c r="P14" s="8"/>
      <c r="Q14" s="8">
        <f t="shared" si="2"/>
        <v>47686770.420000002</v>
      </c>
      <c r="R14" s="8"/>
      <c r="S14" s="8">
        <v>47686770.420000002</v>
      </c>
      <c r="T14" s="8"/>
      <c r="U14" s="8">
        <f t="shared" si="3"/>
        <v>47686770.420000002</v>
      </c>
      <c r="V14" s="8"/>
      <c r="W14" s="8">
        <v>47686770.420000002</v>
      </c>
    </row>
    <row r="15" spans="1:23" s="41" customFormat="1" ht="30" x14ac:dyDescent="0.25">
      <c r="A15" s="236" t="s">
        <v>5</v>
      </c>
      <c r="B15" s="39" t="s">
        <v>10</v>
      </c>
      <c r="C15" s="8"/>
      <c r="D15" s="8">
        <v>1785132.35</v>
      </c>
      <c r="E15" s="8"/>
      <c r="F15" s="8">
        <v>1325230.46</v>
      </c>
      <c r="G15" s="139">
        <f t="shared" si="0"/>
        <v>2044083.83</v>
      </c>
      <c r="H15" s="8"/>
      <c r="I15" s="8">
        <f t="shared" si="1"/>
        <v>2044083.83</v>
      </c>
      <c r="J15" s="8"/>
      <c r="K15" s="8">
        <f>2044083.83</f>
        <v>2044083.83</v>
      </c>
      <c r="L15" s="8">
        <f>2059083.83-15000-2044083.83</f>
        <v>0</v>
      </c>
      <c r="M15" s="34" t="s">
        <v>183</v>
      </c>
      <c r="N15" s="42"/>
      <c r="O15" s="42"/>
      <c r="P15" s="8"/>
      <c r="Q15" s="8">
        <f t="shared" si="2"/>
        <v>0</v>
      </c>
      <c r="R15" s="8"/>
      <c r="S15" s="8"/>
      <c r="T15" s="8"/>
      <c r="U15" s="8">
        <f t="shared" si="3"/>
        <v>0</v>
      </c>
      <c r="V15" s="8"/>
      <c r="W15" s="8"/>
    </row>
    <row r="16" spans="1:23" s="41" customFormat="1" ht="30" x14ac:dyDescent="0.25">
      <c r="A16" s="236" t="s">
        <v>6</v>
      </c>
      <c r="B16" s="39" t="s">
        <v>11</v>
      </c>
      <c r="C16" s="8"/>
      <c r="D16" s="8">
        <v>3100574.43</v>
      </c>
      <c r="E16" s="8"/>
      <c r="F16" s="8">
        <v>2250416.13</v>
      </c>
      <c r="G16" s="139">
        <f t="shared" si="0"/>
        <v>0</v>
      </c>
      <c r="H16" s="8"/>
      <c r="I16" s="8">
        <f t="shared" si="1"/>
        <v>0</v>
      </c>
      <c r="J16" s="8"/>
      <c r="K16" s="8"/>
      <c r="L16" s="8">
        <v>4637655.38</v>
      </c>
      <c r="M16" s="34" t="s">
        <v>184</v>
      </c>
      <c r="N16" s="42"/>
      <c r="O16" s="42"/>
      <c r="P16" s="8"/>
      <c r="Q16" s="8">
        <f t="shared" si="2"/>
        <v>0</v>
      </c>
      <c r="R16" s="8"/>
      <c r="S16" s="8"/>
      <c r="T16" s="8"/>
      <c r="U16" s="8">
        <f t="shared" si="3"/>
        <v>0</v>
      </c>
      <c r="V16" s="8"/>
      <c r="W16" s="8"/>
    </row>
    <row r="17" spans="1:23" s="41" customFormat="1" ht="75" x14ac:dyDescent="0.25">
      <c r="A17" s="236" t="s">
        <v>7</v>
      </c>
      <c r="B17" s="39" t="s">
        <v>13</v>
      </c>
      <c r="C17" s="8">
        <v>319406.25</v>
      </c>
      <c r="D17" s="8">
        <f>1265322.35+16810.86+500</f>
        <v>1282633.2100000002</v>
      </c>
      <c r="E17" s="8">
        <f>304014.25+5500</f>
        <v>309514.25</v>
      </c>
      <c r="F17" s="8">
        <f>380590.56+16289.86</f>
        <v>396880.42</v>
      </c>
      <c r="G17" s="139">
        <f t="shared" si="0"/>
        <v>362951</v>
      </c>
      <c r="H17" s="61">
        <v>344800</v>
      </c>
      <c r="I17" s="61">
        <f t="shared" si="1"/>
        <v>18151</v>
      </c>
      <c r="J17" s="61">
        <v>18151</v>
      </c>
      <c r="K17" s="61"/>
      <c r="L17" s="61">
        <v>920605.87</v>
      </c>
      <c r="M17" s="64" t="s">
        <v>185</v>
      </c>
      <c r="N17" s="42"/>
      <c r="O17" s="42"/>
      <c r="P17" s="61">
        <v>344800</v>
      </c>
      <c r="Q17" s="8">
        <f t="shared" si="2"/>
        <v>18151</v>
      </c>
      <c r="R17" s="61">
        <v>18151</v>
      </c>
      <c r="S17" s="61"/>
      <c r="T17" s="61">
        <v>344800</v>
      </c>
      <c r="U17" s="8">
        <f t="shared" si="3"/>
        <v>18151</v>
      </c>
      <c r="V17" s="61">
        <v>18151</v>
      </c>
      <c r="W17" s="61"/>
    </row>
    <row r="18" spans="1:23" s="41" customFormat="1" ht="27.6" hidden="1" x14ac:dyDescent="0.3">
      <c r="A18" s="236" t="s">
        <v>12</v>
      </c>
      <c r="B18" s="39" t="s">
        <v>3</v>
      </c>
      <c r="C18" s="8"/>
      <c r="D18" s="8"/>
      <c r="E18" s="8"/>
      <c r="F18" s="8"/>
      <c r="G18" s="139">
        <f t="shared" si="0"/>
        <v>0</v>
      </c>
      <c r="H18" s="8"/>
      <c r="I18" s="8">
        <f t="shared" si="1"/>
        <v>0</v>
      </c>
      <c r="J18" s="8"/>
      <c r="K18" s="8"/>
      <c r="L18" s="8"/>
      <c r="M18" s="64"/>
      <c r="N18" s="18"/>
      <c r="O18" s="18"/>
      <c r="P18" s="8"/>
      <c r="Q18" s="8">
        <f t="shared" si="2"/>
        <v>0</v>
      </c>
      <c r="R18" s="8"/>
      <c r="S18" s="8"/>
      <c r="T18" s="8"/>
      <c r="U18" s="8">
        <f t="shared" si="3"/>
        <v>0</v>
      </c>
      <c r="V18" s="8"/>
      <c r="W18" s="8"/>
    </row>
    <row r="19" spans="1:23" s="25" customFormat="1" ht="37.5" customHeight="1" x14ac:dyDescent="0.25">
      <c r="A19" s="234">
        <v>2</v>
      </c>
      <c r="B19" s="13" t="s">
        <v>186</v>
      </c>
      <c r="C19" s="218">
        <f>C21+C22+C23+C24+C25</f>
        <v>0</v>
      </c>
      <c r="D19" s="218">
        <f>D21+D22+D23+D24+D25</f>
        <v>50737139.559999995</v>
      </c>
      <c r="E19" s="218"/>
      <c r="F19" s="218">
        <f>F21+F22+F23+F24+F25</f>
        <v>37618062.710000001</v>
      </c>
      <c r="G19" s="139">
        <f t="shared" si="0"/>
        <v>53915445.640000001</v>
      </c>
      <c r="H19" s="8">
        <f>H21+H22+H23+H24+H25</f>
        <v>0</v>
      </c>
      <c r="I19" s="8">
        <f>J19+K19</f>
        <v>53915445.640000001</v>
      </c>
      <c r="J19" s="8">
        <f t="shared" ref="J19:K19" si="4">J21+J22+J23+J24+J25</f>
        <v>0</v>
      </c>
      <c r="K19" s="8">
        <f t="shared" si="4"/>
        <v>53915445.640000001</v>
      </c>
      <c r="L19" s="8">
        <f>L21+L22+L23+L24+L25</f>
        <v>5353872.8899999997</v>
      </c>
      <c r="M19" s="217"/>
      <c r="N19" s="59"/>
      <c r="O19" s="59"/>
      <c r="P19" s="8">
        <f t="shared" ref="P19" si="5">P21+P22+P23+P24+P25</f>
        <v>0</v>
      </c>
      <c r="Q19" s="8">
        <f>R19+S19</f>
        <v>48305078.579999998</v>
      </c>
      <c r="R19" s="8">
        <f t="shared" ref="R19:T19" si="6">R21+R22+R23+R24+R25</f>
        <v>0</v>
      </c>
      <c r="S19" s="8">
        <f t="shared" si="6"/>
        <v>48305078.579999998</v>
      </c>
      <c r="T19" s="8">
        <f t="shared" si="6"/>
        <v>0</v>
      </c>
      <c r="U19" s="8">
        <f>V19+W19</f>
        <v>46598178.579999998</v>
      </c>
      <c r="V19" s="8">
        <f t="shared" ref="V19:W19" si="7">V21+V22+V23+V24+V25</f>
        <v>0</v>
      </c>
      <c r="W19" s="8">
        <f t="shared" si="7"/>
        <v>46598178.579999998</v>
      </c>
    </row>
    <row r="20" spans="1:23" s="25" customFormat="1" ht="15.75" x14ac:dyDescent="0.25">
      <c r="A20" s="233"/>
      <c r="B20" s="37" t="s">
        <v>1</v>
      </c>
      <c r="C20" s="8"/>
      <c r="D20" s="8"/>
      <c r="E20" s="8"/>
      <c r="F20" s="8"/>
      <c r="G20" s="139">
        <f t="shared" si="0"/>
        <v>0</v>
      </c>
      <c r="H20" s="8"/>
      <c r="I20" s="8">
        <f t="shared" ref="I20:I33" si="8">J20+K20</f>
        <v>0</v>
      </c>
      <c r="J20" s="8"/>
      <c r="K20" s="8"/>
      <c r="L20" s="8"/>
      <c r="M20" s="217"/>
      <c r="N20" s="59"/>
      <c r="O20" s="59"/>
      <c r="P20" s="8"/>
      <c r="Q20" s="8">
        <f t="shared" ref="Q20:Q33" si="9">R20+S20</f>
        <v>0</v>
      </c>
      <c r="R20" s="8"/>
      <c r="S20" s="8"/>
      <c r="T20" s="8"/>
      <c r="U20" s="8">
        <f t="shared" ref="U20:U33" si="10">V20+W20</f>
        <v>0</v>
      </c>
      <c r="V20" s="8"/>
      <c r="W20" s="8"/>
    </row>
    <row r="21" spans="1:23" s="41" customFormat="1" ht="15.75" x14ac:dyDescent="0.25">
      <c r="A21" s="236" t="s">
        <v>4</v>
      </c>
      <c r="B21" s="34" t="s">
        <v>2</v>
      </c>
      <c r="C21" s="8"/>
      <c r="D21" s="8">
        <f>41261909.7+1309000</f>
        <v>42570909.700000003</v>
      </c>
      <c r="E21" s="8"/>
      <c r="F21" s="8">
        <v>31081007.420000002</v>
      </c>
      <c r="G21" s="139">
        <f t="shared" si="0"/>
        <v>49320859.670000002</v>
      </c>
      <c r="H21" s="8"/>
      <c r="I21" s="8">
        <f t="shared" si="8"/>
        <v>49320859.670000002</v>
      </c>
      <c r="J21" s="8"/>
      <c r="K21" s="8">
        <f>47038578.58+1347912.78+934368.31</f>
        <v>49320859.670000002</v>
      </c>
      <c r="L21" s="8">
        <f>1347912.78-1347912.78</f>
        <v>0</v>
      </c>
      <c r="M21" s="217"/>
      <c r="N21" s="59"/>
      <c r="O21" s="59"/>
      <c r="P21" s="8"/>
      <c r="Q21" s="8">
        <f t="shared" si="9"/>
        <v>48305078.579999998</v>
      </c>
      <c r="R21" s="8"/>
      <c r="S21" s="8">
        <v>48305078.579999998</v>
      </c>
      <c r="T21" s="8"/>
      <c r="U21" s="8">
        <f t="shared" si="10"/>
        <v>46598178.579999998</v>
      </c>
      <c r="V21" s="8"/>
      <c r="W21" s="8">
        <v>46598178.579999998</v>
      </c>
    </row>
    <row r="22" spans="1:23" s="41" customFormat="1" ht="30" x14ac:dyDescent="0.25">
      <c r="A22" s="236" t="s">
        <v>5</v>
      </c>
      <c r="B22" s="39" t="s">
        <v>10</v>
      </c>
      <c r="C22" s="8"/>
      <c r="D22" s="8">
        <v>3595608.73</v>
      </c>
      <c r="E22" s="8"/>
      <c r="F22" s="8">
        <v>2812010.14</v>
      </c>
      <c r="G22" s="139">
        <f t="shared" si="0"/>
        <v>4594585.97</v>
      </c>
      <c r="H22" s="8"/>
      <c r="I22" s="8">
        <f t="shared" si="8"/>
        <v>4594585.97</v>
      </c>
      <c r="J22" s="8"/>
      <c r="K22" s="8">
        <f>4594585.97</f>
        <v>4594585.97</v>
      </c>
      <c r="L22" s="8">
        <f>4599585.97-5000-4594585.97</f>
        <v>0</v>
      </c>
      <c r="M22" s="34" t="s">
        <v>183</v>
      </c>
      <c r="N22" s="59"/>
      <c r="O22" s="59"/>
      <c r="P22" s="8"/>
      <c r="Q22" s="8">
        <f t="shared" si="9"/>
        <v>0</v>
      </c>
      <c r="R22" s="8"/>
      <c r="S22" s="8"/>
      <c r="T22" s="8"/>
      <c r="U22" s="8">
        <f t="shared" si="10"/>
        <v>0</v>
      </c>
      <c r="V22" s="8"/>
      <c r="W22" s="8"/>
    </row>
    <row r="23" spans="1:23" s="41" customFormat="1" ht="30" x14ac:dyDescent="0.25">
      <c r="A23" s="236" t="s">
        <v>6</v>
      </c>
      <c r="B23" s="39" t="s">
        <v>11</v>
      </c>
      <c r="C23" s="8"/>
      <c r="D23" s="8">
        <v>3746766.48</v>
      </c>
      <c r="E23" s="8"/>
      <c r="F23" s="8">
        <v>3050041.37</v>
      </c>
      <c r="G23" s="139">
        <f t="shared" si="0"/>
        <v>0</v>
      </c>
      <c r="H23" s="8"/>
      <c r="I23" s="8">
        <f t="shared" si="8"/>
        <v>0</v>
      </c>
      <c r="J23" s="8"/>
      <c r="K23" s="8"/>
      <c r="L23" s="8">
        <v>4538214.55</v>
      </c>
      <c r="M23" s="34" t="s">
        <v>184</v>
      </c>
      <c r="N23" s="59"/>
      <c r="O23" s="59"/>
      <c r="P23" s="8"/>
      <c r="Q23" s="8">
        <f t="shared" si="9"/>
        <v>0</v>
      </c>
      <c r="R23" s="8"/>
      <c r="S23" s="8"/>
      <c r="T23" s="8"/>
      <c r="U23" s="8">
        <f t="shared" si="10"/>
        <v>0</v>
      </c>
      <c r="V23" s="8"/>
      <c r="W23" s="8"/>
    </row>
    <row r="24" spans="1:23" s="41" customFormat="1" ht="75" x14ac:dyDescent="0.25">
      <c r="A24" s="236" t="s">
        <v>7</v>
      </c>
      <c r="B24" s="39" t="s">
        <v>13</v>
      </c>
      <c r="C24" s="8"/>
      <c r="D24" s="8">
        <v>823854.65</v>
      </c>
      <c r="E24" s="8"/>
      <c r="F24" s="8">
        <v>675003.78</v>
      </c>
      <c r="G24" s="139">
        <f t="shared" si="0"/>
        <v>0</v>
      </c>
      <c r="H24" s="61"/>
      <c r="I24" s="8">
        <f t="shared" si="8"/>
        <v>0</v>
      </c>
      <c r="J24" s="61"/>
      <c r="K24" s="61"/>
      <c r="L24" s="8">
        <v>760658.34</v>
      </c>
      <c r="M24" s="64" t="s">
        <v>185</v>
      </c>
      <c r="N24" s="59"/>
      <c r="O24" s="59"/>
      <c r="P24" s="61"/>
      <c r="Q24" s="8">
        <f t="shared" si="9"/>
        <v>0</v>
      </c>
      <c r="R24" s="61"/>
      <c r="S24" s="61"/>
      <c r="T24" s="61"/>
      <c r="U24" s="8">
        <f t="shared" si="10"/>
        <v>0</v>
      </c>
      <c r="V24" s="61"/>
      <c r="W24" s="61"/>
    </row>
    <row r="25" spans="1:23" s="41" customFormat="1" ht="30" x14ac:dyDescent="0.25">
      <c r="A25" s="236" t="s">
        <v>12</v>
      </c>
      <c r="B25" s="39" t="s">
        <v>3</v>
      </c>
      <c r="C25" s="8"/>
      <c r="D25" s="8"/>
      <c r="E25" s="8"/>
      <c r="F25" s="8"/>
      <c r="G25" s="139">
        <f t="shared" si="0"/>
        <v>0</v>
      </c>
      <c r="H25" s="8"/>
      <c r="I25" s="8">
        <f t="shared" si="8"/>
        <v>0</v>
      </c>
      <c r="J25" s="8"/>
      <c r="K25" s="8"/>
      <c r="L25" s="8">
        <v>55000</v>
      </c>
      <c r="M25" s="62" t="s">
        <v>187</v>
      </c>
      <c r="N25" s="59"/>
      <c r="O25" s="59"/>
      <c r="P25" s="8"/>
      <c r="Q25" s="8">
        <f t="shared" si="9"/>
        <v>0</v>
      </c>
      <c r="R25" s="8"/>
      <c r="S25" s="8"/>
      <c r="T25" s="8"/>
      <c r="U25" s="8">
        <f t="shared" si="10"/>
        <v>0</v>
      </c>
      <c r="V25" s="8"/>
      <c r="W25" s="8"/>
    </row>
    <row r="26" spans="1:23" s="11" customFormat="1" ht="90" x14ac:dyDescent="0.25">
      <c r="A26" s="234">
        <v>3</v>
      </c>
      <c r="B26" s="64" t="s">
        <v>188</v>
      </c>
      <c r="C26" s="45"/>
      <c r="D26" s="45">
        <v>300000</v>
      </c>
      <c r="E26" s="45"/>
      <c r="F26" s="45">
        <v>155983.06</v>
      </c>
      <c r="G26" s="139">
        <f t="shared" si="0"/>
        <v>0</v>
      </c>
      <c r="H26" s="8"/>
      <c r="I26" s="8">
        <f t="shared" si="8"/>
        <v>0</v>
      </c>
      <c r="J26" s="8"/>
      <c r="K26" s="8"/>
      <c r="L26" s="8">
        <v>300000</v>
      </c>
      <c r="M26" s="64" t="s">
        <v>364</v>
      </c>
      <c r="N26" s="59"/>
      <c r="O26" s="59"/>
      <c r="P26" s="8"/>
      <c r="Q26" s="8">
        <f t="shared" si="9"/>
        <v>0</v>
      </c>
      <c r="R26" s="8"/>
      <c r="S26" s="8"/>
      <c r="T26" s="8"/>
      <c r="U26" s="8">
        <f t="shared" si="10"/>
        <v>0</v>
      </c>
      <c r="V26" s="8"/>
      <c r="W26" s="8"/>
    </row>
    <row r="27" spans="1:23" s="11" customFormat="1" ht="75" x14ac:dyDescent="0.25">
      <c r="A27" s="234">
        <v>4</v>
      </c>
      <c r="B27" s="64" t="s">
        <v>189</v>
      </c>
      <c r="C27" s="45"/>
      <c r="D27" s="45">
        <v>400000</v>
      </c>
      <c r="E27" s="45"/>
      <c r="F27" s="45">
        <v>210000</v>
      </c>
      <c r="G27" s="139">
        <f t="shared" si="0"/>
        <v>0</v>
      </c>
      <c r="H27" s="8"/>
      <c r="I27" s="8">
        <f t="shared" si="8"/>
        <v>0</v>
      </c>
      <c r="J27" s="8"/>
      <c r="K27" s="8"/>
      <c r="L27" s="8">
        <v>400000</v>
      </c>
      <c r="M27" s="64" t="s">
        <v>366</v>
      </c>
      <c r="N27" s="59"/>
      <c r="O27" s="59"/>
      <c r="P27" s="8"/>
      <c r="Q27" s="8">
        <f t="shared" si="9"/>
        <v>0</v>
      </c>
      <c r="R27" s="8"/>
      <c r="S27" s="8"/>
      <c r="T27" s="8"/>
      <c r="U27" s="8">
        <f t="shared" si="10"/>
        <v>0</v>
      </c>
      <c r="V27" s="8"/>
      <c r="W27" s="8"/>
    </row>
    <row r="28" spans="1:23" s="11" customFormat="1" ht="90" x14ac:dyDescent="0.25">
      <c r="A28" s="234">
        <v>5</v>
      </c>
      <c r="B28" s="64" t="s">
        <v>190</v>
      </c>
      <c r="C28" s="45"/>
      <c r="D28" s="45">
        <v>2809330</v>
      </c>
      <c r="E28" s="45"/>
      <c r="F28" s="45">
        <v>2188330</v>
      </c>
      <c r="G28" s="139">
        <f t="shared" si="0"/>
        <v>0</v>
      </c>
      <c r="H28" s="8"/>
      <c r="I28" s="8">
        <f t="shared" si="8"/>
        <v>0</v>
      </c>
      <c r="J28" s="8"/>
      <c r="K28" s="8"/>
      <c r="L28" s="8">
        <v>3026990</v>
      </c>
      <c r="M28" s="64" t="s">
        <v>367</v>
      </c>
      <c r="N28" s="59"/>
      <c r="O28" s="59"/>
      <c r="P28" s="8"/>
      <c r="Q28" s="8">
        <f t="shared" si="9"/>
        <v>0</v>
      </c>
      <c r="R28" s="8"/>
      <c r="S28" s="8"/>
      <c r="T28" s="8"/>
      <c r="U28" s="8">
        <f t="shared" si="10"/>
        <v>0</v>
      </c>
      <c r="V28" s="8"/>
      <c r="W28" s="8"/>
    </row>
    <row r="29" spans="1:23" s="35" customFormat="1" ht="90" x14ac:dyDescent="0.25">
      <c r="A29" s="234">
        <v>6</v>
      </c>
      <c r="B29" s="64" t="s">
        <v>191</v>
      </c>
      <c r="C29" s="45"/>
      <c r="D29" s="45">
        <v>300000</v>
      </c>
      <c r="E29" s="45"/>
      <c r="F29" s="45">
        <v>70200</v>
      </c>
      <c r="G29" s="139">
        <f t="shared" si="0"/>
        <v>0</v>
      </c>
      <c r="H29" s="8"/>
      <c r="I29" s="8">
        <f t="shared" si="8"/>
        <v>0</v>
      </c>
      <c r="J29" s="8"/>
      <c r="K29" s="8"/>
      <c r="L29" s="8">
        <v>300000</v>
      </c>
      <c r="M29" s="64" t="s">
        <v>365</v>
      </c>
      <c r="N29" s="59"/>
      <c r="O29" s="59"/>
      <c r="P29" s="8"/>
      <c r="Q29" s="8">
        <f t="shared" si="9"/>
        <v>0</v>
      </c>
      <c r="R29" s="8"/>
      <c r="S29" s="8"/>
      <c r="T29" s="8"/>
      <c r="U29" s="8">
        <f t="shared" si="10"/>
        <v>0</v>
      </c>
      <c r="V29" s="8"/>
      <c r="W29" s="8"/>
    </row>
    <row r="30" spans="1:23" s="35" customFormat="1" ht="45" x14ac:dyDescent="0.25">
      <c r="A30" s="234">
        <v>7</v>
      </c>
      <c r="B30" s="64" t="s">
        <v>368</v>
      </c>
      <c r="C30" s="45"/>
      <c r="D30" s="45">
        <v>0</v>
      </c>
      <c r="E30" s="45"/>
      <c r="F30" s="45">
        <v>0</v>
      </c>
      <c r="G30" s="139">
        <f t="shared" si="0"/>
        <v>0</v>
      </c>
      <c r="H30" s="8"/>
      <c r="I30" s="8">
        <v>0</v>
      </c>
      <c r="J30" s="8"/>
      <c r="K30" s="8"/>
      <c r="L30" s="8">
        <v>1069946</v>
      </c>
      <c r="M30" s="64" t="s">
        <v>369</v>
      </c>
      <c r="N30" s="59"/>
      <c r="O30" s="59"/>
      <c r="P30" s="8"/>
      <c r="Q30" s="8"/>
      <c r="R30" s="8"/>
      <c r="S30" s="8"/>
      <c r="T30" s="8"/>
      <c r="U30" s="8"/>
      <c r="V30" s="8"/>
      <c r="W30" s="8"/>
    </row>
    <row r="31" spans="1:23" s="35" customFormat="1" ht="60" x14ac:dyDescent="0.25">
      <c r="A31" s="234">
        <v>8</v>
      </c>
      <c r="B31" s="64" t="s">
        <v>370</v>
      </c>
      <c r="C31" s="45"/>
      <c r="D31" s="45">
        <v>50000</v>
      </c>
      <c r="E31" s="45"/>
      <c r="F31" s="45">
        <v>30000</v>
      </c>
      <c r="G31" s="139">
        <f t="shared" si="0"/>
        <v>0</v>
      </c>
      <c r="H31" s="8"/>
      <c r="I31" s="8">
        <v>0</v>
      </c>
      <c r="J31" s="8"/>
      <c r="K31" s="8"/>
      <c r="L31" s="8">
        <v>200000</v>
      </c>
      <c r="M31" s="64" t="s">
        <v>371</v>
      </c>
      <c r="N31" s="59"/>
      <c r="O31" s="59"/>
      <c r="P31" s="8"/>
      <c r="Q31" s="8"/>
      <c r="R31" s="8"/>
      <c r="S31" s="8"/>
      <c r="T31" s="8"/>
      <c r="U31" s="8"/>
      <c r="V31" s="8"/>
      <c r="W31" s="8"/>
    </row>
    <row r="32" spans="1:23" s="35" customFormat="1" ht="60" x14ac:dyDescent="0.25">
      <c r="A32" s="234">
        <v>9</v>
      </c>
      <c r="B32" s="219" t="s">
        <v>438</v>
      </c>
      <c r="C32" s="45"/>
      <c r="D32" s="45">
        <v>10127436.289999999</v>
      </c>
      <c r="E32" s="45"/>
      <c r="F32" s="45">
        <v>3723702.24</v>
      </c>
      <c r="G32" s="139">
        <f t="shared" si="0"/>
        <v>0</v>
      </c>
      <c r="H32" s="8"/>
      <c r="I32" s="8">
        <f t="shared" si="8"/>
        <v>0</v>
      </c>
      <c r="J32" s="8"/>
      <c r="K32" s="8"/>
      <c r="L32" s="8">
        <v>18949424.640000001</v>
      </c>
      <c r="M32" s="64" t="s">
        <v>193</v>
      </c>
      <c r="N32" s="59"/>
      <c r="O32" s="59"/>
      <c r="P32" s="8"/>
      <c r="Q32" s="8">
        <f t="shared" si="9"/>
        <v>0</v>
      </c>
      <c r="R32" s="8"/>
      <c r="S32" s="8"/>
      <c r="T32" s="8"/>
      <c r="U32" s="8">
        <f t="shared" si="10"/>
        <v>0</v>
      </c>
      <c r="V32" s="8"/>
      <c r="W32" s="8"/>
    </row>
    <row r="33" spans="1:23" s="35" customFormat="1" ht="15.75" customHeight="1" x14ac:dyDescent="0.25">
      <c r="A33" s="234">
        <v>10</v>
      </c>
      <c r="B33" s="39" t="s">
        <v>192</v>
      </c>
      <c r="C33" s="218"/>
      <c r="D33" s="218">
        <v>617817.53</v>
      </c>
      <c r="E33" s="218"/>
      <c r="F33" s="218">
        <v>233180</v>
      </c>
      <c r="G33" s="139">
        <f t="shared" si="0"/>
        <v>0</v>
      </c>
      <c r="H33" s="8"/>
      <c r="I33" s="8">
        <f t="shared" si="8"/>
        <v>0</v>
      </c>
      <c r="J33" s="8"/>
      <c r="K33" s="8"/>
      <c r="L33" s="8"/>
      <c r="M33" s="217"/>
      <c r="N33" s="59"/>
      <c r="O33" s="59"/>
      <c r="P33" s="8"/>
      <c r="Q33" s="8">
        <f t="shared" si="9"/>
        <v>0</v>
      </c>
      <c r="R33" s="8"/>
      <c r="S33" s="8"/>
      <c r="T33" s="8"/>
      <c r="U33" s="8">
        <f t="shared" si="10"/>
        <v>0</v>
      </c>
      <c r="V33" s="8"/>
      <c r="W33" s="8"/>
    </row>
    <row r="34" spans="1:23" s="35" customFormat="1" ht="15.75" x14ac:dyDescent="0.25">
      <c r="A34" s="237"/>
      <c r="B34" s="15" t="s">
        <v>14</v>
      </c>
      <c r="C34" s="220">
        <f>C12+C19++C26+C27+C28+C29+C30+C31+C32+C33</f>
        <v>319406.25</v>
      </c>
      <c r="D34" s="220">
        <f>D12+D19++D26+D27+D28+D29+D30+D31+D32+D33</f>
        <v>116869112.56</v>
      </c>
      <c r="E34" s="220">
        <f>E12+E19++E26+E27+E28+E29+E30+E31+E32+E33</f>
        <v>309514.25</v>
      </c>
      <c r="F34" s="220">
        <f>F12+F19++F26+F27+F28+F29+F30+F31+F32+F33</f>
        <v>83628383.910000011</v>
      </c>
      <c r="G34" s="139">
        <f t="shared" si="0"/>
        <v>104186333.69</v>
      </c>
      <c r="H34" s="16">
        <f>H12+H20</f>
        <v>344800</v>
      </c>
      <c r="I34" s="16">
        <f>I12+I19</f>
        <v>103841533.69</v>
      </c>
      <c r="J34" s="16">
        <f>J12+J19</f>
        <v>18151</v>
      </c>
      <c r="K34" s="16">
        <f>K12+K19</f>
        <v>103823382.69</v>
      </c>
      <c r="L34" s="16">
        <f>L12+L19+L26+L27+L28+L29+L30+L31+L32</f>
        <v>35158494.780000001</v>
      </c>
      <c r="M34" s="16"/>
      <c r="N34" s="18">
        <v>4000000</v>
      </c>
      <c r="O34" s="18">
        <f>364400+600000+1000000</f>
        <v>1964400</v>
      </c>
      <c r="P34" s="16">
        <f t="shared" ref="P34:W34" si="11">P12+P19</f>
        <v>344800</v>
      </c>
      <c r="Q34" s="16">
        <f t="shared" si="11"/>
        <v>96010000</v>
      </c>
      <c r="R34" s="16">
        <f t="shared" si="11"/>
        <v>18151</v>
      </c>
      <c r="S34" s="16">
        <f t="shared" si="11"/>
        <v>95991849</v>
      </c>
      <c r="T34" s="16">
        <f t="shared" si="11"/>
        <v>344800</v>
      </c>
      <c r="U34" s="16">
        <f t="shared" si="11"/>
        <v>94303100</v>
      </c>
      <c r="V34" s="16">
        <f t="shared" si="11"/>
        <v>18151</v>
      </c>
      <c r="W34" s="16">
        <f t="shared" si="11"/>
        <v>94284949</v>
      </c>
    </row>
  </sheetData>
  <customSheetViews>
    <customSheetView guid="{F55D2626-B25D-4865-88D7-A4040A583D45}" scale="80" showPageBreaks="1" fitToPage="1" hiddenRows="1" topLeftCell="D1">
      <pane ySplit="11" topLeftCell="A28" activePane="bottomLeft" state="frozen"/>
      <selection pane="bottomLeft" activeCell="N34" sqref="N34:O34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"/>
    </customSheetView>
    <customSheetView guid="{9D6C8421-31F4-449D-B427-1D13044E970D}" scale="90" showPageBreaks="1" fitToPage="1" hiddenRows="1" topLeftCell="D1">
      <pane ySplit="11" topLeftCell="A31" activePane="bottomLeft" state="frozen"/>
      <selection pane="bottomLeft" activeCell="O34" sqref="O34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2"/>
    </customSheetView>
    <customSheetView guid="{CCAC52F4-1AE6-4B0C-B39F-86F6AB8E32E1}" scale="90" showPageBreaks="1" fitToPage="1" hiddenRows="1">
      <pane ySplit="11" topLeftCell="A17" activePane="bottomLeft" state="frozen"/>
      <selection pane="bottomLeft" activeCell="L19" sqref="L19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90" showPageBreaks="1" fitToPage="1" hiddenRows="1">
      <pane ySplit="11" topLeftCell="A22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 hiddenRows="1">
      <pane ySplit="11" topLeftCell="A12" activePane="bottomLeft" state="frozen"/>
      <selection pane="bottomLeft" activeCell="F14" sqref="F14:G1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 hiddenRows="1">
      <pane ySplit="11" topLeftCell="A12" activePane="bottomLeft" state="frozen"/>
      <selection pane="bottomLeft" activeCell="C32" sqref="C32:D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 hiddenRows="1">
      <pane ySplit="11" topLeftCell="A28" activePane="bottomLeft" state="frozen"/>
      <selection pane="bottomLeft" activeCell="C32" sqref="C32:D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 hiddenRows="1" topLeftCell="D1">
      <pane ySplit="11" topLeftCell="A31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hiddenRows="1" topLeftCell="D1">
      <pane ySplit="11" topLeftCell="A31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hiddenRows="1" topLeftCell="D1">
      <pane ySplit="11" topLeftCell="A12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1" fitToHeight="2" orientation="landscape" verticalDpi="180" r:id="rId10"/>
    </customSheetView>
    <customSheetView guid="{887BBBC8-E1A3-4468-951B-36A5511E64E6}" scale="90" showPageBreaks="1" fitToPage="1" hiddenRows="1" topLeftCell="D1">
      <pane ySplit="11" topLeftCell="A12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hiddenRows="1">
      <pane ySplit="11" topLeftCell="A31" activePane="bottomLeft" state="frozen"/>
      <selection pane="bottomLeft" activeCell="C32" sqref="C32:D3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hiddenRows="1" topLeftCell="D1">
      <pane ySplit="11" topLeftCell="A31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hiddenRows="1" topLeftCell="D1">
      <pane ySplit="11" topLeftCell="A31" activePane="bottomLeft" state="frozen"/>
      <selection pane="bottomLeft" activeCell="M17" sqref="M1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 hiddenRows="1" topLeftCell="E1">
      <pane ySplit="11" topLeftCell="A12" activePane="bottomLeft" state="frozen"/>
      <selection pane="bottomLeft" activeCell="P19" sqref="P19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 hiddenRows="1">
      <pane ySplit="11" topLeftCell="A31" activePane="bottomLeft" state="frozen"/>
      <selection pane="bottomLeft" activeCell="F42" sqref="F42"/>
      <pageMargins left="0.31496062992125984" right="0.31496062992125984" top="0.35433070866141736" bottom="0.35433070866141736" header="0.31496062992125984" footer="0.31496062992125984"/>
      <pageSetup paperSize="9" scale="19" orientation="portrait" verticalDpi="180" r:id="rId16"/>
    </customSheetView>
  </customSheetViews>
  <mergeCells count="34">
    <mergeCell ref="N6:N10"/>
    <mergeCell ref="O6:O10"/>
    <mergeCell ref="J9:J10"/>
    <mergeCell ref="K9:K10"/>
    <mergeCell ref="R9:R10"/>
    <mergeCell ref="L8:L10"/>
    <mergeCell ref="M8:M10"/>
    <mergeCell ref="S9:S10"/>
    <mergeCell ref="V9:V10"/>
    <mergeCell ref="P7:P10"/>
    <mergeCell ref="Q7:S7"/>
    <mergeCell ref="T7:T10"/>
    <mergeCell ref="U7:W7"/>
    <mergeCell ref="R8:S8"/>
    <mergeCell ref="Q8:Q10"/>
    <mergeCell ref="U8:U10"/>
    <mergeCell ref="V8:W8"/>
    <mergeCell ref="W9:W10"/>
    <mergeCell ref="C6:F6"/>
    <mergeCell ref="G6:G10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</mergeCells>
  <pageMargins left="0.31496062992125984" right="0.31496062992125984" top="0.35433070866141736" bottom="0.35433070866141736" header="0.31496062992125984" footer="0.31496062992125984"/>
  <pageSetup paperSize="9" scale="29" fitToHeight="2" orientation="landscape" verticalDpi="180"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7"/>
  <sheetViews>
    <sheetView zoomScale="90" zoomScaleNormal="90" workbookViewId="0">
      <pane xSplit="2" ySplit="11" topLeftCell="C12" activePane="bottomRight" state="frozen"/>
      <selection activeCell="H14" sqref="H14"/>
      <selection pane="topRight" activeCell="H14" sqref="H14"/>
      <selection pane="bottomLeft" activeCell="H14" sqref="H14"/>
      <selection pane="bottomRigh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3" width="15.28515625" style="2" customWidth="1"/>
    <col min="4" max="4" width="14.7109375" style="2" customWidth="1"/>
    <col min="5" max="5" width="15.28515625" style="2" customWidth="1"/>
    <col min="6" max="7" width="14.7109375" style="2" customWidth="1"/>
    <col min="8" max="8" width="15.28515625" style="2" customWidth="1"/>
    <col min="9" max="9" width="14.7109375" style="2" customWidth="1"/>
    <col min="10" max="10" width="15.28515625" style="2" customWidth="1"/>
    <col min="11" max="11" width="14.7109375" style="2" customWidth="1"/>
    <col min="12" max="12" width="17.5703125" style="2" customWidth="1"/>
    <col min="13" max="13" width="49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3">
      <c r="A4" s="303" t="s">
        <v>46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9.7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25" customFormat="1" ht="30" x14ac:dyDescent="0.25">
      <c r="A12" s="234">
        <v>1</v>
      </c>
      <c r="B12" s="13" t="s">
        <v>276</v>
      </c>
      <c r="C12" s="13">
        <f>C13</f>
        <v>0</v>
      </c>
      <c r="D12" s="13">
        <f t="shared" ref="D12:F12" si="0">D13</f>
        <v>243040</v>
      </c>
      <c r="E12" s="13">
        <f t="shared" si="0"/>
        <v>0</v>
      </c>
      <c r="F12" s="13">
        <f t="shared" si="0"/>
        <v>69515</v>
      </c>
      <c r="G12" s="13">
        <f>H12+I12</f>
        <v>668072</v>
      </c>
      <c r="H12" s="3">
        <f>H13+H14+H15</f>
        <v>0</v>
      </c>
      <c r="I12" s="3">
        <f>I13</f>
        <v>668072</v>
      </c>
      <c r="J12" s="3">
        <f>J13</f>
        <v>0</v>
      </c>
      <c r="K12" s="3">
        <f>K13</f>
        <v>668072</v>
      </c>
      <c r="L12" s="3">
        <f>L13</f>
        <v>167018</v>
      </c>
      <c r="M12" s="38"/>
      <c r="N12" s="36"/>
      <c r="O12" s="214"/>
      <c r="P12" s="8">
        <f>P13+P14+P15</f>
        <v>0</v>
      </c>
      <c r="Q12" s="3">
        <f t="shared" ref="Q12:W12" si="1">Q13</f>
        <v>200000</v>
      </c>
      <c r="R12" s="3">
        <f t="shared" si="1"/>
        <v>0</v>
      </c>
      <c r="S12" s="3">
        <f t="shared" si="1"/>
        <v>200000</v>
      </c>
      <c r="T12" s="8">
        <f t="shared" si="1"/>
        <v>0</v>
      </c>
      <c r="U12" s="3">
        <f t="shared" si="1"/>
        <v>200000</v>
      </c>
      <c r="V12" s="3">
        <f t="shared" si="1"/>
        <v>0</v>
      </c>
      <c r="W12" s="3">
        <f t="shared" si="1"/>
        <v>200000</v>
      </c>
    </row>
    <row r="13" spans="1:23" s="215" customFormat="1" ht="45" x14ac:dyDescent="0.25">
      <c r="A13" s="233" t="s">
        <v>4</v>
      </c>
      <c r="B13" s="39" t="s">
        <v>143</v>
      </c>
      <c r="C13" s="39">
        <v>0</v>
      </c>
      <c r="D13" s="39">
        <v>243040</v>
      </c>
      <c r="E13" s="39">
        <v>0</v>
      </c>
      <c r="F13" s="39">
        <v>69515</v>
      </c>
      <c r="G13" s="13">
        <f t="shared" ref="G13:G17" si="2">H13+I13</f>
        <v>668072</v>
      </c>
      <c r="H13" s="3"/>
      <c r="I13" s="3">
        <f>J13+K13</f>
        <v>668072</v>
      </c>
      <c r="J13" s="3">
        <v>0</v>
      </c>
      <c r="K13" s="3">
        <v>668072</v>
      </c>
      <c r="L13" s="3">
        <v>167018</v>
      </c>
      <c r="M13" s="13" t="s">
        <v>145</v>
      </c>
      <c r="N13" s="36"/>
      <c r="O13" s="214">
        <v>167018</v>
      </c>
      <c r="P13" s="3"/>
      <c r="Q13" s="3">
        <f>R13+S13</f>
        <v>200000</v>
      </c>
      <c r="R13" s="3">
        <v>0</v>
      </c>
      <c r="S13" s="3">
        <v>200000</v>
      </c>
      <c r="T13" s="3"/>
      <c r="U13" s="3">
        <f>V13+W13</f>
        <v>200000</v>
      </c>
      <c r="V13" s="3">
        <v>0</v>
      </c>
      <c r="W13" s="3">
        <v>200000</v>
      </c>
    </row>
    <row r="14" spans="1:23" s="41" customFormat="1" ht="60" x14ac:dyDescent="0.25">
      <c r="A14" s="234">
        <v>2</v>
      </c>
      <c r="B14" s="13" t="s">
        <v>277</v>
      </c>
      <c r="C14" s="13">
        <f>C15</f>
        <v>0</v>
      </c>
      <c r="D14" s="13">
        <f t="shared" ref="D14:F14" si="3">D15</f>
        <v>1775300</v>
      </c>
      <c r="E14" s="13">
        <f t="shared" si="3"/>
        <v>0</v>
      </c>
      <c r="F14" s="13">
        <f t="shared" si="3"/>
        <v>1269777</v>
      </c>
      <c r="G14" s="13">
        <f t="shared" si="2"/>
        <v>897828</v>
      </c>
      <c r="H14" s="3"/>
      <c r="I14" s="3">
        <f>I15</f>
        <v>897828</v>
      </c>
      <c r="J14" s="3">
        <f>J15</f>
        <v>0</v>
      </c>
      <c r="K14" s="3">
        <f>K15</f>
        <v>897828</v>
      </c>
      <c r="L14" s="3">
        <f>L15</f>
        <v>955548</v>
      </c>
      <c r="M14" s="34"/>
      <c r="N14" s="40"/>
      <c r="O14" s="214"/>
      <c r="P14" s="8"/>
      <c r="Q14" s="3">
        <f t="shared" ref="Q14:W14" si="4">Q15</f>
        <v>1386800</v>
      </c>
      <c r="R14" s="3">
        <f t="shared" si="4"/>
        <v>0</v>
      </c>
      <c r="S14" s="3">
        <f t="shared" si="4"/>
        <v>1386800</v>
      </c>
      <c r="T14" s="8">
        <f t="shared" si="4"/>
        <v>0</v>
      </c>
      <c r="U14" s="3">
        <f t="shared" si="4"/>
        <v>1358600</v>
      </c>
      <c r="V14" s="3">
        <f t="shared" si="4"/>
        <v>0</v>
      </c>
      <c r="W14" s="3">
        <f t="shared" si="4"/>
        <v>1358600</v>
      </c>
    </row>
    <row r="15" spans="1:23" s="215" customFormat="1" ht="45" x14ac:dyDescent="0.25">
      <c r="A15" s="233" t="s">
        <v>4</v>
      </c>
      <c r="B15" s="39" t="s">
        <v>142</v>
      </c>
      <c r="C15" s="39">
        <v>0</v>
      </c>
      <c r="D15" s="39">
        <v>1775300</v>
      </c>
      <c r="E15" s="39">
        <v>0</v>
      </c>
      <c r="F15" s="39">
        <v>1269777</v>
      </c>
      <c r="G15" s="13">
        <f t="shared" si="2"/>
        <v>897828</v>
      </c>
      <c r="H15" s="3"/>
      <c r="I15" s="3">
        <f>J15+K15</f>
        <v>897828</v>
      </c>
      <c r="J15" s="3">
        <v>0</v>
      </c>
      <c r="K15" s="3">
        <v>897828</v>
      </c>
      <c r="L15" s="3">
        <f>1853376-K15</f>
        <v>955548</v>
      </c>
      <c r="M15" s="13" t="s">
        <v>144</v>
      </c>
      <c r="N15" s="42"/>
      <c r="O15" s="214">
        <v>955548</v>
      </c>
      <c r="P15" s="3"/>
      <c r="Q15" s="3">
        <f>R15+S15</f>
        <v>1386800</v>
      </c>
      <c r="R15" s="3">
        <v>0</v>
      </c>
      <c r="S15" s="3">
        <v>1386800</v>
      </c>
      <c r="T15" s="3"/>
      <c r="U15" s="3">
        <f>V15+W15</f>
        <v>1358600</v>
      </c>
      <c r="V15" s="3">
        <v>0</v>
      </c>
      <c r="W15" s="3">
        <f>1558600-200000</f>
        <v>1358600</v>
      </c>
    </row>
    <row r="16" spans="1:23" s="215" customFormat="1" x14ac:dyDescent="0.25">
      <c r="A16" s="233"/>
      <c r="B16" s="39" t="s">
        <v>437</v>
      </c>
      <c r="C16" s="39"/>
      <c r="D16" s="39">
        <v>1062081</v>
      </c>
      <c r="E16" s="39"/>
      <c r="F16" s="39">
        <v>565624.4</v>
      </c>
      <c r="G16" s="13"/>
      <c r="H16" s="3"/>
      <c r="I16" s="3"/>
      <c r="J16" s="3"/>
      <c r="K16" s="3"/>
      <c r="L16" s="3"/>
      <c r="M16" s="13"/>
      <c r="N16" s="42"/>
      <c r="O16" s="42"/>
      <c r="P16" s="3"/>
      <c r="Q16" s="3"/>
      <c r="R16" s="3"/>
      <c r="S16" s="3"/>
      <c r="T16" s="3"/>
      <c r="U16" s="3"/>
      <c r="V16" s="3"/>
      <c r="W16" s="3"/>
    </row>
    <row r="17" spans="1:23" s="35" customFormat="1" x14ac:dyDescent="0.25">
      <c r="A17" s="237"/>
      <c r="B17" s="15" t="s">
        <v>14</v>
      </c>
      <c r="C17" s="15">
        <f>C12+C14+C16</f>
        <v>0</v>
      </c>
      <c r="D17" s="15">
        <f t="shared" ref="D17:F17" si="5">D12+D14+D16</f>
        <v>3080421</v>
      </c>
      <c r="E17" s="15">
        <f t="shared" si="5"/>
        <v>0</v>
      </c>
      <c r="F17" s="15">
        <f t="shared" si="5"/>
        <v>1904916.4</v>
      </c>
      <c r="G17" s="44">
        <f t="shared" si="2"/>
        <v>1565900</v>
      </c>
      <c r="H17" s="16">
        <f>H12</f>
        <v>0</v>
      </c>
      <c r="I17" s="16">
        <f>I12+I14</f>
        <v>1565900</v>
      </c>
      <c r="J17" s="16">
        <f>J12+J14</f>
        <v>0</v>
      </c>
      <c r="K17" s="16">
        <f>K12+K14</f>
        <v>1565900</v>
      </c>
      <c r="L17" s="16">
        <f>L12+L14</f>
        <v>1122566</v>
      </c>
      <c r="M17" s="16"/>
      <c r="N17" s="43">
        <v>0</v>
      </c>
      <c r="O17" s="43">
        <f>SUM(O12:O16)</f>
        <v>1122566</v>
      </c>
      <c r="P17" s="16">
        <f>P12</f>
        <v>0</v>
      </c>
      <c r="Q17" s="16">
        <f>Q12+Q14</f>
        <v>1586800</v>
      </c>
      <c r="R17" s="16">
        <f t="shared" ref="R17:W17" si="6">R12+R14</f>
        <v>0</v>
      </c>
      <c r="S17" s="16">
        <f t="shared" si="6"/>
        <v>1586800</v>
      </c>
      <c r="T17" s="16">
        <f t="shared" si="6"/>
        <v>0</v>
      </c>
      <c r="U17" s="16">
        <f t="shared" si="6"/>
        <v>1558600</v>
      </c>
      <c r="V17" s="16">
        <f t="shared" si="6"/>
        <v>0</v>
      </c>
      <c r="W17" s="16">
        <f t="shared" si="6"/>
        <v>1558600</v>
      </c>
    </row>
  </sheetData>
  <customSheetViews>
    <customSheetView guid="{F55D2626-B25D-4865-88D7-A4040A583D45}" scale="90" showPageBreaks="1" fitToPage="1">
      <pane xSplit="2" ySplit="11" topLeftCell="H12" activePane="bottomRight" state="frozen"/>
      <selection pane="bottomRight" activeCell="N17" sqref="N17:O17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"/>
    </customSheetView>
    <customSheetView guid="{9D6C8421-31F4-449D-B427-1D13044E970D}" scale="90" showPageBreaks="1" fitToPage="1">
      <pane xSplit="2" ySplit="11" topLeftCell="H12" activePane="bottomRight" state="frozen"/>
      <selection pane="bottomRight" activeCell="H15" sqref="H15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2"/>
    </customSheetView>
    <customSheetView guid="{CCAC52F4-1AE6-4B0C-B39F-86F6AB8E32E1}" scale="90" showPageBreaks="1" fitToPage="1">
      <pane xSplit="2" ySplit="11" topLeftCell="C12" activePane="bottomRight" state="frozen"/>
      <selection pane="bottomRight" activeCell="L11" sqref="L11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3"/>
    </customSheetView>
    <customSheetView guid="{8286488C-3E2A-4969-AFC8-11C0D17DBFA2}" scale="90" showPageBreaks="1" fitToPage="1">
      <pane xSplit="2" ySplit="11" topLeftCell="E12" activePane="bottomRight" state="frozen"/>
      <selection pane="bottomRight" activeCell="J16" sqref="J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xSplit="2" ySplit="11" topLeftCell="C12" activePane="bottomRight" state="frozen"/>
      <selection pane="bottomRight" activeCell="H15" sqref="H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xSplit="2" ySplit="11" topLeftCell="E12" activePane="bottomRight" state="frozen"/>
      <selection pane="bottomRight" activeCell="I27" sqref="I27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>
      <pane xSplit="2" ySplit="11" topLeftCell="E12" activePane="bottomRight" state="frozen"/>
      <selection pane="bottomRight" activeCell="J16" sqref="J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xSplit="2" ySplit="11" topLeftCell="C36" activePane="bottomRight" state="frozen"/>
      <selection pane="bottomRight" activeCell="P41" sqref="P4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xSplit="2" ySplit="11" topLeftCell="C12" activePane="bottomRight" state="frozen"/>
      <selection pane="bottomRight" activeCell="B15" sqref="B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xSplit="2" ySplit="11" topLeftCell="C12" activePane="bottomRight" state="frozen"/>
      <selection pane="bottomRight" activeCell="P41" sqref="P4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xSplit="2" ySplit="11" topLeftCell="C12" activePane="bottomRight" state="frozen"/>
      <selection pane="bottomRight" activeCell="G21" sqref="G21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>
      <pane xSplit="2" ySplit="11" topLeftCell="E12" activePane="bottomRight" state="frozen"/>
      <selection pane="bottomRight" activeCell="J16" sqref="J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xSplit="2" ySplit="11" topLeftCell="C12" activePane="bottomRight" state="frozen"/>
      <selection pane="bottomRight" activeCell="B15" sqref="B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xSplit="2" ySplit="11" topLeftCell="C12" activePane="bottomRight" state="frozen"/>
      <selection pane="bottomRight" activeCell="B15" sqref="B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xSplit="2" ySplit="11" topLeftCell="C12" activePane="bottomRight" state="frozen"/>
      <selection pane="bottomRight" activeCell="H15" sqref="H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xSplit="2" ySplit="11" topLeftCell="C12" activePane="bottomRight" state="frozen"/>
      <selection pane="bottomRight" activeCell="C17" sqref="C17"/>
      <pageMargins left="0.31496062992125984" right="0.31496062992125984" top="0.35433070866141736" bottom="0.35433070866141736" header="0.31496062992125984" footer="0.31496062992125984"/>
      <pageSetup paperSize="9" scale="27" fitToHeight="2" orientation="landscape" verticalDpi="180" r:id="rId16"/>
    </customSheetView>
  </customSheetViews>
  <mergeCells count="34">
    <mergeCell ref="N6:N10"/>
    <mergeCell ref="O6:O10"/>
    <mergeCell ref="J9:J10"/>
    <mergeCell ref="K9:K10"/>
    <mergeCell ref="R9:R10"/>
    <mergeCell ref="L8:L10"/>
    <mergeCell ref="M8:M10"/>
    <mergeCell ref="S9:S10"/>
    <mergeCell ref="V9:V10"/>
    <mergeCell ref="P7:P10"/>
    <mergeCell ref="Q7:S7"/>
    <mergeCell ref="T7:T10"/>
    <mergeCell ref="U7:W7"/>
    <mergeCell ref="R8:S8"/>
    <mergeCell ref="Q8:Q10"/>
    <mergeCell ref="U8:U10"/>
    <mergeCell ref="V8:W8"/>
    <mergeCell ref="W9:W10"/>
    <mergeCell ref="C6:F6"/>
    <mergeCell ref="G6:G10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17"/>
  <sheetViews>
    <sheetView zoomScale="90" zoomScaleNormal="90" workbookViewId="0">
      <pane ySplit="11" topLeftCell="A12" activePane="bottomLeft" state="frozen"/>
      <selection activeCell="H14" sqref="H14"/>
      <selection pane="bottomLeft" activeCell="H14" sqref="H14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6.42578125" style="2" customWidth="1"/>
    <col min="12" max="12" width="17.5703125" style="2" customWidth="1"/>
    <col min="13" max="13" width="36.85546875" style="2" customWidth="1"/>
    <col min="14" max="15" width="18.42578125" style="2" customWidth="1"/>
    <col min="16" max="23" width="19.5703125" style="2" customWidth="1"/>
    <col min="24" max="25" width="9.140625" style="35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35" customFormat="1" ht="42.75" customHeight="1" x14ac:dyDescent="0.3">
      <c r="A4" s="303" t="s">
        <v>47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1:23" s="35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35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35" customFormat="1" ht="47.25" customHeight="1" x14ac:dyDescent="0.25">
      <c r="A7" s="270"/>
      <c r="B7" s="271"/>
      <c r="C7" s="271" t="s">
        <v>396</v>
      </c>
      <c r="D7" s="271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35" customFormat="1" ht="18.75" customHeight="1" x14ac:dyDescent="0.25">
      <c r="A8" s="270"/>
      <c r="B8" s="271"/>
      <c r="C8" s="271"/>
      <c r="D8" s="271"/>
      <c r="E8" s="298"/>
      <c r="F8" s="299"/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35" customFormat="1" ht="39.75" customHeight="1" x14ac:dyDescent="0.25">
      <c r="A9" s="270"/>
      <c r="B9" s="271"/>
      <c r="C9" s="271"/>
      <c r="D9" s="271"/>
      <c r="E9" s="298"/>
      <c r="F9" s="299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35" customFormat="1" ht="92.25" customHeight="1" x14ac:dyDescent="0.25">
      <c r="A10" s="270"/>
      <c r="B10" s="271"/>
      <c r="C10" s="5" t="s">
        <v>8</v>
      </c>
      <c r="D10" s="5" t="s">
        <v>410</v>
      </c>
      <c r="E10" s="5" t="s">
        <v>8</v>
      </c>
      <c r="F10" s="5" t="s">
        <v>410</v>
      </c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0" customFormat="1" ht="16.5" customHeight="1" x14ac:dyDescent="0.3">
      <c r="A11" s="233">
        <v>1</v>
      </c>
      <c r="B11" s="238">
        <v>2</v>
      </c>
      <c r="C11" s="233">
        <v>3</v>
      </c>
      <c r="D11" s="238">
        <v>4</v>
      </c>
      <c r="E11" s="233">
        <v>5</v>
      </c>
      <c r="F11" s="238">
        <v>6</v>
      </c>
      <c r="G11" s="233">
        <v>7</v>
      </c>
      <c r="H11" s="238">
        <v>8</v>
      </c>
      <c r="I11" s="233">
        <v>9</v>
      </c>
      <c r="J11" s="238">
        <v>10</v>
      </c>
      <c r="K11" s="233">
        <v>11</v>
      </c>
      <c r="L11" s="238">
        <v>12</v>
      </c>
      <c r="M11" s="233">
        <v>13</v>
      </c>
      <c r="N11" s="239"/>
      <c r="O11" s="239"/>
      <c r="P11" s="238">
        <v>14</v>
      </c>
      <c r="Q11" s="233">
        <v>15</v>
      </c>
      <c r="R11" s="238">
        <v>16</v>
      </c>
      <c r="S11" s="233">
        <v>17</v>
      </c>
      <c r="T11" s="238">
        <v>18</v>
      </c>
      <c r="U11" s="233">
        <v>19</v>
      </c>
      <c r="V11" s="238">
        <v>20</v>
      </c>
      <c r="W11" s="233">
        <v>21</v>
      </c>
    </row>
    <row r="12" spans="1:23" s="35" customFormat="1" ht="46.5" customHeight="1" x14ac:dyDescent="0.25">
      <c r="A12" s="234">
        <v>1</v>
      </c>
      <c r="B12" s="55" t="s">
        <v>355</v>
      </c>
      <c r="C12" s="4">
        <v>1365700</v>
      </c>
      <c r="D12" s="4">
        <v>0</v>
      </c>
      <c r="E12" s="4">
        <v>899978.29</v>
      </c>
      <c r="F12" s="4">
        <v>0</v>
      </c>
      <c r="G12" s="4">
        <f>H12+I12</f>
        <v>1355800</v>
      </c>
      <c r="H12" s="5">
        <v>1355800</v>
      </c>
      <c r="I12" s="8">
        <f>I14</f>
        <v>0</v>
      </c>
      <c r="J12" s="4">
        <v>0</v>
      </c>
      <c r="K12" s="5">
        <v>0</v>
      </c>
      <c r="L12" s="4">
        <v>0</v>
      </c>
      <c r="M12" s="5"/>
      <c r="N12" s="36"/>
      <c r="O12" s="36"/>
      <c r="P12" s="5">
        <v>1355800</v>
      </c>
      <c r="Q12" s="8">
        <f>Q14</f>
        <v>0</v>
      </c>
      <c r="R12" s="4">
        <v>0</v>
      </c>
      <c r="S12" s="5">
        <v>0</v>
      </c>
      <c r="T12" s="5">
        <v>1355800</v>
      </c>
      <c r="U12" s="8">
        <f>U14</f>
        <v>0</v>
      </c>
      <c r="V12" s="4">
        <v>0</v>
      </c>
      <c r="W12" s="5">
        <v>0</v>
      </c>
    </row>
    <row r="13" spans="1:23" s="25" customFormat="1" ht="30" x14ac:dyDescent="0.25">
      <c r="A13" s="234">
        <v>2</v>
      </c>
      <c r="B13" s="13" t="s">
        <v>275</v>
      </c>
      <c r="C13" s="5">
        <v>0</v>
      </c>
      <c r="D13" s="5">
        <v>5000</v>
      </c>
      <c r="E13" s="5">
        <v>0</v>
      </c>
      <c r="F13" s="5">
        <v>0</v>
      </c>
      <c r="G13" s="4">
        <f t="shared" ref="G13:G15" si="0">H13+I13</f>
        <v>0</v>
      </c>
      <c r="H13" s="8">
        <f>H15</f>
        <v>0</v>
      </c>
      <c r="I13" s="8">
        <f>I15</f>
        <v>0</v>
      </c>
      <c r="J13" s="8">
        <f>J15</f>
        <v>0</v>
      </c>
      <c r="K13" s="8">
        <f>K15</f>
        <v>0</v>
      </c>
      <c r="L13" s="8">
        <f>L15</f>
        <v>0</v>
      </c>
      <c r="M13" s="8"/>
      <c r="N13" s="36"/>
      <c r="O13" s="36"/>
      <c r="P13" s="8">
        <f t="shared" ref="P13:W13" si="1">P15</f>
        <v>0</v>
      </c>
      <c r="Q13" s="8">
        <f t="shared" si="1"/>
        <v>4200</v>
      </c>
      <c r="R13" s="8">
        <f t="shared" si="1"/>
        <v>0</v>
      </c>
      <c r="S13" s="8">
        <f t="shared" si="1"/>
        <v>4200</v>
      </c>
      <c r="T13" s="8">
        <f t="shared" si="1"/>
        <v>0</v>
      </c>
      <c r="U13" s="8">
        <f t="shared" si="1"/>
        <v>4100</v>
      </c>
      <c r="V13" s="8">
        <f t="shared" si="1"/>
        <v>0</v>
      </c>
      <c r="W13" s="8">
        <f t="shared" si="1"/>
        <v>4100</v>
      </c>
    </row>
    <row r="14" spans="1:23" s="25" customFormat="1" x14ac:dyDescent="0.25">
      <c r="A14" s="233"/>
      <c r="B14" s="37" t="s">
        <v>1</v>
      </c>
      <c r="C14" s="3"/>
      <c r="D14" s="3"/>
      <c r="E14" s="3"/>
      <c r="F14" s="3"/>
      <c r="G14" s="4">
        <f t="shared" si="0"/>
        <v>0</v>
      </c>
      <c r="H14" s="8"/>
      <c r="I14" s="8"/>
      <c r="J14" s="8"/>
      <c r="K14" s="8"/>
      <c r="L14" s="8"/>
      <c r="M14" s="38"/>
      <c r="N14" s="40"/>
      <c r="O14" s="40"/>
      <c r="P14" s="8"/>
      <c r="Q14" s="8"/>
      <c r="R14" s="8"/>
      <c r="S14" s="8"/>
      <c r="T14" s="8"/>
      <c r="U14" s="8"/>
      <c r="V14" s="8"/>
      <c r="W14" s="8"/>
    </row>
    <row r="15" spans="1:23" s="41" customFormat="1" ht="30" x14ac:dyDescent="0.25">
      <c r="A15" s="236" t="s">
        <v>4</v>
      </c>
      <c r="B15" s="34" t="s">
        <v>150</v>
      </c>
      <c r="C15" s="8">
        <v>0</v>
      </c>
      <c r="D15" s="8">
        <v>5000</v>
      </c>
      <c r="E15" s="8">
        <v>0</v>
      </c>
      <c r="F15" s="8">
        <v>0</v>
      </c>
      <c r="G15" s="4">
        <f t="shared" si="0"/>
        <v>0</v>
      </c>
      <c r="H15" s="8"/>
      <c r="I15" s="8">
        <f t="shared" ref="I15" si="2">J15+K15</f>
        <v>0</v>
      </c>
      <c r="J15" s="8"/>
      <c r="K15" s="8"/>
      <c r="L15" s="8"/>
      <c r="M15" s="39" t="s">
        <v>358</v>
      </c>
      <c r="N15" s="42"/>
      <c r="O15" s="42"/>
      <c r="P15" s="8"/>
      <c r="Q15" s="8">
        <f t="shared" ref="Q15" si="3">R15+S15</f>
        <v>4200</v>
      </c>
      <c r="R15" s="8"/>
      <c r="S15" s="8">
        <v>4200</v>
      </c>
      <c r="T15" s="8"/>
      <c r="U15" s="8">
        <f t="shared" ref="U15" si="4">V15+W15</f>
        <v>4100</v>
      </c>
      <c r="V15" s="8"/>
      <c r="W15" s="8">
        <v>4100</v>
      </c>
    </row>
    <row r="16" spans="1:23" s="41" customFormat="1" ht="13.9" x14ac:dyDescent="0.25">
      <c r="A16" s="236"/>
      <c r="B16" s="34"/>
      <c r="C16" s="8"/>
      <c r="D16" s="8"/>
      <c r="E16" s="8"/>
      <c r="F16" s="8"/>
      <c r="G16" s="4"/>
      <c r="H16" s="8"/>
      <c r="I16" s="8"/>
      <c r="J16" s="8"/>
      <c r="K16" s="8"/>
      <c r="L16" s="8"/>
      <c r="M16" s="34"/>
      <c r="N16" s="42"/>
      <c r="O16" s="42"/>
      <c r="P16" s="8"/>
      <c r="Q16" s="8"/>
      <c r="R16" s="8"/>
      <c r="S16" s="8"/>
      <c r="T16" s="8"/>
      <c r="U16" s="8"/>
      <c r="V16" s="8"/>
      <c r="W16" s="8"/>
    </row>
    <row r="17" spans="1:23" s="35" customFormat="1" x14ac:dyDescent="0.25">
      <c r="A17" s="237"/>
      <c r="B17" s="15" t="s">
        <v>14</v>
      </c>
      <c r="C17" s="142">
        <f>C12+C13+C16</f>
        <v>1365700</v>
      </c>
      <c r="D17" s="142">
        <f t="shared" ref="D17:F17" si="5">D12+D13+D16</f>
        <v>5000</v>
      </c>
      <c r="E17" s="142">
        <f t="shared" si="5"/>
        <v>899978.29</v>
      </c>
      <c r="F17" s="142">
        <f t="shared" si="5"/>
        <v>0</v>
      </c>
      <c r="G17" s="142">
        <f t="shared" ref="G17" si="6">G12+G13</f>
        <v>1355800</v>
      </c>
      <c r="H17" s="16">
        <f>H12+H13</f>
        <v>1355800</v>
      </c>
      <c r="I17" s="16">
        <f>I13</f>
        <v>0</v>
      </c>
      <c r="J17" s="16">
        <f>J13</f>
        <v>0</v>
      </c>
      <c r="K17" s="16">
        <f>K13</f>
        <v>0</v>
      </c>
      <c r="L17" s="16">
        <f>L13</f>
        <v>0</v>
      </c>
      <c r="M17" s="16"/>
      <c r="N17" s="177">
        <v>0</v>
      </c>
      <c r="O17" s="177">
        <v>0</v>
      </c>
      <c r="P17" s="16">
        <f>P12+P13</f>
        <v>1355800</v>
      </c>
      <c r="Q17" s="16">
        <f t="shared" ref="Q17:W17" si="7">Q13</f>
        <v>4200</v>
      </c>
      <c r="R17" s="16">
        <f t="shared" si="7"/>
        <v>0</v>
      </c>
      <c r="S17" s="16">
        <f t="shared" si="7"/>
        <v>4200</v>
      </c>
      <c r="T17" s="16">
        <f>T12+T13</f>
        <v>1355800</v>
      </c>
      <c r="U17" s="16">
        <f t="shared" si="7"/>
        <v>4100</v>
      </c>
      <c r="V17" s="16">
        <f t="shared" si="7"/>
        <v>0</v>
      </c>
      <c r="W17" s="16">
        <f t="shared" si="7"/>
        <v>4100</v>
      </c>
    </row>
  </sheetData>
  <customSheetViews>
    <customSheetView guid="{F55D2626-B25D-4865-88D7-A4040A583D45}" scale="90" showPageBreaks="1" fitToPage="1" topLeftCell="D1">
      <pane ySplit="11" topLeftCell="A12" activePane="bottomLeft" state="frozen"/>
      <selection pane="bottomLeft" activeCell="N17" sqref="N17:O17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topLeftCell="H1">
      <pane ySplit="11" topLeftCell="A12" activePane="bottomLeft" state="frozen"/>
      <selection pane="bottomLeft" activeCell="L15" sqref="L15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>
      <pane ySplit="11" topLeftCell="A12" activePane="bottomLeft" state="frozen"/>
      <selection pane="bottomLeft" activeCell="L13" sqref="L13"/>
      <pageMargins left="0.31496062992125984" right="0.31496062992125984" top="0.35433070866141736" bottom="0.35433070866141736" header="0.31496062992125984" footer="0.31496062992125984"/>
      <pageSetup paperSize="9" scale="30" fitToHeight="2" orientation="landscape" verticalDpi="180" r:id="rId3"/>
    </customSheetView>
    <customSheetView guid="{8286488C-3E2A-4969-AFC8-11C0D17DBFA2}" scale="90" showPageBreaks="1" fitToPage="1">
      <pane ySplit="11" topLeftCell="A12" activePane="bottomLeft" state="frozen"/>
      <selection pane="bottomLeft" activeCell="A15" sqref="A15:XFD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>
      <pane ySplit="11" topLeftCell="A12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>
      <pane ySplit="11" topLeftCell="A12" activePane="bottomLeft" state="frozen"/>
      <selection pane="bottomLeft" activeCell="P15" sqref="P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 topLeftCell="D1">
      <pane ySplit="11" topLeftCell="A12" activePane="bottomLeft" state="frozen"/>
      <selection pane="bottomLeft" activeCell="P15" sqref="P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>
      <pane ySplit="11" topLeftCell="A12" activePane="bottomLeft" state="frozen"/>
      <selection pane="bottomLeft" activeCell="D13" sqref="D13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>
      <pane ySplit="11" topLeftCell="A24" activePane="bottomLeft" state="frozen"/>
      <selection pane="bottomLeft" activeCell="A24" sqref="A24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topLeftCell="D1">
      <pane ySplit="11" topLeftCell="A12" activePane="bottomLeft" state="frozen"/>
      <selection pane="bottomLeft" activeCell="P15" sqref="P15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>
      <pane ySplit="11" topLeftCell="A12" activePane="bottomLeft" state="frozen"/>
      <selection pane="bottomLeft" activeCell="B20" sqref="B20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>
      <pane ySplit="11" topLeftCell="A12" activePane="bottomLeft" state="frozen"/>
      <selection pane="bottomLeft" activeCell="H16" sqref="H16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>
      <pane ySplit="11" topLeftCell="A12" activePane="bottomLeft" state="frozen"/>
      <selection pane="bottomLeft" activeCell="F22" sqref="F22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4">
    <mergeCell ref="N6:N10"/>
    <mergeCell ref="O6:O10"/>
    <mergeCell ref="J9:J10"/>
    <mergeCell ref="K9:K10"/>
    <mergeCell ref="R9:R10"/>
    <mergeCell ref="L8:L10"/>
    <mergeCell ref="M8:M10"/>
    <mergeCell ref="S9:S10"/>
    <mergeCell ref="V9:V10"/>
    <mergeCell ref="P7:P10"/>
    <mergeCell ref="Q7:S7"/>
    <mergeCell ref="T7:T10"/>
    <mergeCell ref="U7:W7"/>
    <mergeCell ref="R8:S8"/>
    <mergeCell ref="Q8:Q10"/>
    <mergeCell ref="U8:U10"/>
    <mergeCell ref="V8:W8"/>
    <mergeCell ref="W9:W10"/>
    <mergeCell ref="C6:F6"/>
    <mergeCell ref="G6:G10"/>
    <mergeCell ref="C7:D9"/>
    <mergeCell ref="E7:F9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Y39"/>
  <sheetViews>
    <sheetView zoomScale="90" zoomScaleNormal="90" workbookViewId="0">
      <pane ySplit="11" topLeftCell="A12" activePane="bottomLeft" state="frozen"/>
      <selection activeCell="H14" sqref="H14"/>
      <selection pane="bottomLeft" activeCell="E8" sqref="E8:F10"/>
    </sheetView>
  </sheetViews>
  <sheetFormatPr defaultColWidth="9.140625" defaultRowHeight="15" x14ac:dyDescent="0.25"/>
  <cols>
    <col min="1" max="1" width="8.5703125" style="231" customWidth="1"/>
    <col min="2" max="2" width="46.5703125" style="2" customWidth="1"/>
    <col min="3" max="11" width="17" style="2" customWidth="1"/>
    <col min="12" max="12" width="17.5703125" style="2" customWidth="1"/>
    <col min="13" max="13" width="25.140625" style="2" customWidth="1"/>
    <col min="14" max="15" width="18.42578125" style="2" customWidth="1"/>
    <col min="16" max="23" width="19.5703125" style="2" customWidth="1"/>
    <col min="24" max="25" width="9.140625" style="19"/>
    <col min="26" max="16384" width="9.140625" style="2"/>
  </cols>
  <sheetData>
    <row r="2" spans="1:23" ht="18.75" x14ac:dyDescent="0.25">
      <c r="A2" s="268" t="s">
        <v>40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6" customHeight="1" x14ac:dyDescent="0.3"/>
    <row r="4" spans="1:23" s="19" customFormat="1" ht="42.75" customHeight="1" x14ac:dyDescent="0.3">
      <c r="A4" s="304" t="s">
        <v>387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</row>
    <row r="5" spans="1:23" s="19" customFormat="1" ht="6" customHeight="1" x14ac:dyDescent="0.35">
      <c r="A5" s="232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0"/>
      <c r="Q5" s="20"/>
      <c r="R5" s="20"/>
      <c r="S5" s="20"/>
      <c r="T5" s="20"/>
      <c r="U5" s="20"/>
      <c r="V5" s="20"/>
      <c r="W5" s="20"/>
    </row>
    <row r="6" spans="1:23" s="19" customFormat="1" ht="33.75" customHeight="1" x14ac:dyDescent="0.25">
      <c r="A6" s="270" t="s">
        <v>0</v>
      </c>
      <c r="B6" s="271" t="s">
        <v>28</v>
      </c>
      <c r="C6" s="282" t="s">
        <v>395</v>
      </c>
      <c r="D6" s="295"/>
      <c r="E6" s="295"/>
      <c r="F6" s="283"/>
      <c r="G6" s="278" t="s">
        <v>400</v>
      </c>
      <c r="H6" s="292" t="s">
        <v>21</v>
      </c>
      <c r="I6" s="293"/>
      <c r="J6" s="293"/>
      <c r="K6" s="293"/>
      <c r="L6" s="293"/>
      <c r="M6" s="294"/>
      <c r="N6" s="285" t="s">
        <v>447</v>
      </c>
      <c r="O6" s="285" t="s">
        <v>448</v>
      </c>
      <c r="P6" s="277" t="s">
        <v>22</v>
      </c>
      <c r="Q6" s="277"/>
      <c r="R6" s="277"/>
      <c r="S6" s="277"/>
      <c r="T6" s="277" t="s">
        <v>41</v>
      </c>
      <c r="U6" s="277"/>
      <c r="V6" s="277"/>
      <c r="W6" s="277"/>
    </row>
    <row r="7" spans="1:23" s="19" customFormat="1" ht="62.25" customHeight="1" x14ac:dyDescent="0.25">
      <c r="A7" s="270"/>
      <c r="B7" s="271"/>
      <c r="C7" s="282" t="s">
        <v>396</v>
      </c>
      <c r="D7" s="283"/>
      <c r="E7" s="296" t="s">
        <v>397</v>
      </c>
      <c r="F7" s="297"/>
      <c r="G7" s="278"/>
      <c r="H7" s="283" t="s">
        <v>8</v>
      </c>
      <c r="I7" s="274" t="s">
        <v>23</v>
      </c>
      <c r="J7" s="275"/>
      <c r="K7" s="275"/>
      <c r="L7" s="271" t="s">
        <v>24</v>
      </c>
      <c r="M7" s="271"/>
      <c r="N7" s="286"/>
      <c r="O7" s="286"/>
      <c r="P7" s="271" t="s">
        <v>8</v>
      </c>
      <c r="Q7" s="274" t="s">
        <v>23</v>
      </c>
      <c r="R7" s="275"/>
      <c r="S7" s="275"/>
      <c r="T7" s="271" t="s">
        <v>8</v>
      </c>
      <c r="U7" s="276" t="s">
        <v>23</v>
      </c>
      <c r="V7" s="276"/>
      <c r="W7" s="276"/>
    </row>
    <row r="8" spans="1:23" s="19" customFormat="1" ht="18.75" customHeight="1" x14ac:dyDescent="0.25">
      <c r="A8" s="270"/>
      <c r="B8" s="271"/>
      <c r="C8" s="272" t="s">
        <v>8</v>
      </c>
      <c r="D8" s="272" t="s">
        <v>410</v>
      </c>
      <c r="E8" s="271" t="s">
        <v>8</v>
      </c>
      <c r="F8" s="271" t="s">
        <v>410</v>
      </c>
      <c r="G8" s="278"/>
      <c r="H8" s="283"/>
      <c r="I8" s="271" t="s">
        <v>15</v>
      </c>
      <c r="J8" s="276" t="s">
        <v>16</v>
      </c>
      <c r="K8" s="276"/>
      <c r="L8" s="288" t="s">
        <v>9</v>
      </c>
      <c r="M8" s="272" t="s">
        <v>20</v>
      </c>
      <c r="N8" s="286"/>
      <c r="O8" s="286"/>
      <c r="P8" s="271"/>
      <c r="Q8" s="271" t="s">
        <v>15</v>
      </c>
      <c r="R8" s="276" t="s">
        <v>16</v>
      </c>
      <c r="S8" s="276"/>
      <c r="T8" s="271"/>
      <c r="U8" s="271" t="s">
        <v>15</v>
      </c>
      <c r="V8" s="276" t="s">
        <v>16</v>
      </c>
      <c r="W8" s="276"/>
    </row>
    <row r="9" spans="1:23" s="19" customFormat="1" ht="39.75" customHeight="1" x14ac:dyDescent="0.25">
      <c r="A9" s="270"/>
      <c r="B9" s="271"/>
      <c r="C9" s="284"/>
      <c r="D9" s="284"/>
      <c r="E9" s="271"/>
      <c r="F9" s="271"/>
      <c r="G9" s="278"/>
      <c r="H9" s="283"/>
      <c r="I9" s="271"/>
      <c r="J9" s="271" t="s">
        <v>17</v>
      </c>
      <c r="K9" s="272" t="s">
        <v>18</v>
      </c>
      <c r="L9" s="289"/>
      <c r="M9" s="284"/>
      <c r="N9" s="286"/>
      <c r="O9" s="286"/>
      <c r="P9" s="271"/>
      <c r="Q9" s="271"/>
      <c r="R9" s="271" t="s">
        <v>17</v>
      </c>
      <c r="S9" s="272" t="s">
        <v>18</v>
      </c>
      <c r="T9" s="271"/>
      <c r="U9" s="271"/>
      <c r="V9" s="271" t="s">
        <v>17</v>
      </c>
      <c r="W9" s="272" t="s">
        <v>18</v>
      </c>
    </row>
    <row r="10" spans="1:23" s="19" customFormat="1" ht="57" customHeight="1" x14ac:dyDescent="0.25">
      <c r="A10" s="270"/>
      <c r="B10" s="271"/>
      <c r="C10" s="273"/>
      <c r="D10" s="273"/>
      <c r="E10" s="271"/>
      <c r="F10" s="271"/>
      <c r="G10" s="278"/>
      <c r="H10" s="283"/>
      <c r="I10" s="271"/>
      <c r="J10" s="271"/>
      <c r="K10" s="273"/>
      <c r="L10" s="290"/>
      <c r="M10" s="273"/>
      <c r="N10" s="287"/>
      <c r="O10" s="287"/>
      <c r="P10" s="271"/>
      <c r="Q10" s="271"/>
      <c r="R10" s="271"/>
      <c r="S10" s="273"/>
      <c r="T10" s="271"/>
      <c r="U10" s="271"/>
      <c r="V10" s="271"/>
      <c r="W10" s="273"/>
    </row>
    <row r="11" spans="1:23" s="245" customFormat="1" ht="16.5" customHeight="1" x14ac:dyDescent="0.3">
      <c r="A11" s="233">
        <v>1</v>
      </c>
      <c r="B11" s="238">
        <v>2</v>
      </c>
      <c r="C11" s="238">
        <v>3</v>
      </c>
      <c r="D11" s="238"/>
      <c r="E11" s="238">
        <v>4</v>
      </c>
      <c r="F11" s="238"/>
      <c r="G11" s="238">
        <v>5</v>
      </c>
      <c r="H11" s="244">
        <v>6</v>
      </c>
      <c r="I11" s="233">
        <v>7</v>
      </c>
      <c r="J11" s="238">
        <v>8</v>
      </c>
      <c r="K11" s="244">
        <v>9</v>
      </c>
      <c r="L11" s="238">
        <v>10</v>
      </c>
      <c r="M11" s="244">
        <v>11</v>
      </c>
      <c r="N11" s="239"/>
      <c r="O11" s="239"/>
      <c r="P11" s="244">
        <v>12</v>
      </c>
      <c r="Q11" s="233">
        <v>13</v>
      </c>
      <c r="R11" s="238">
        <v>14</v>
      </c>
      <c r="S11" s="244">
        <v>15</v>
      </c>
      <c r="T11" s="244">
        <v>16</v>
      </c>
      <c r="U11" s="233">
        <v>17</v>
      </c>
      <c r="V11" s="238">
        <v>18</v>
      </c>
      <c r="W11" s="244">
        <v>19</v>
      </c>
    </row>
    <row r="12" spans="1:23" s="25" customFormat="1" ht="105" x14ac:dyDescent="0.25">
      <c r="A12" s="241">
        <v>1</v>
      </c>
      <c r="B12" s="211" t="s">
        <v>93</v>
      </c>
      <c r="C12" s="212">
        <v>124844300</v>
      </c>
      <c r="D12" s="212">
        <v>6638838.54</v>
      </c>
      <c r="E12" s="212">
        <v>0</v>
      </c>
      <c r="F12" s="212"/>
      <c r="G12" s="212">
        <f t="shared" ref="G12:G19" si="0">H12+I12</f>
        <v>33439263.16</v>
      </c>
      <c r="H12" s="23">
        <v>31767300</v>
      </c>
      <c r="I12" s="23">
        <f>J12+K12</f>
        <v>1671963.16</v>
      </c>
      <c r="J12" s="23">
        <v>1671963.16</v>
      </c>
      <c r="K12" s="23">
        <f>K14+K15+K16+K17+K18</f>
        <v>0</v>
      </c>
      <c r="L12" s="23"/>
      <c r="M12" s="33"/>
      <c r="N12" s="36"/>
      <c r="O12" s="36"/>
      <c r="P12" s="23">
        <v>23656200</v>
      </c>
      <c r="Q12" s="23">
        <f>R12+S12</f>
        <v>1245063.1599999999</v>
      </c>
      <c r="R12" s="23">
        <v>1245063.1599999999</v>
      </c>
      <c r="S12" s="23">
        <f>S14+S15+S16+S17+S18</f>
        <v>0</v>
      </c>
      <c r="T12" s="23">
        <v>23656200</v>
      </c>
      <c r="U12" s="23">
        <f>V12+W12</f>
        <v>1245063.1599999999</v>
      </c>
      <c r="V12" s="23">
        <v>1245063.1599999999</v>
      </c>
      <c r="W12" s="23">
        <f>W14+W15+W16+W17+W18</f>
        <v>0</v>
      </c>
    </row>
    <row r="13" spans="1:23" s="25" customFormat="1" ht="14.45" hidden="1" x14ac:dyDescent="0.3">
      <c r="A13" s="242"/>
      <c r="B13" s="27" t="s">
        <v>1</v>
      </c>
      <c r="C13" s="26"/>
      <c r="D13" s="26"/>
      <c r="E13" s="26"/>
      <c r="F13" s="26"/>
      <c r="G13" s="124">
        <f t="shared" si="0"/>
        <v>0</v>
      </c>
      <c r="H13" s="23"/>
      <c r="I13" s="23">
        <f t="shared" ref="I13:I18" si="1">J13+K13</f>
        <v>0</v>
      </c>
      <c r="J13" s="23"/>
      <c r="K13" s="23"/>
      <c r="L13" s="23"/>
      <c r="M13" s="24"/>
      <c r="N13" s="36"/>
      <c r="O13" s="36"/>
      <c r="P13" s="23"/>
      <c r="Q13" s="23">
        <f t="shared" ref="Q13:Q18" si="2">R13+S13</f>
        <v>0</v>
      </c>
      <c r="R13" s="23"/>
      <c r="S13" s="23"/>
      <c r="T13" s="23"/>
      <c r="U13" s="23">
        <f t="shared" ref="U13:U18" si="3">V13+W13</f>
        <v>0</v>
      </c>
      <c r="V13" s="23"/>
      <c r="W13" s="23"/>
    </row>
    <row r="14" spans="1:23" s="29" customFormat="1" ht="13.9" hidden="1" x14ac:dyDescent="0.25">
      <c r="A14" s="243" t="s">
        <v>4</v>
      </c>
      <c r="B14" s="28" t="s">
        <v>2</v>
      </c>
      <c r="C14" s="23"/>
      <c r="D14" s="23"/>
      <c r="E14" s="23"/>
      <c r="F14" s="23"/>
      <c r="G14" s="124">
        <f t="shared" si="0"/>
        <v>0</v>
      </c>
      <c r="H14" s="23"/>
      <c r="I14" s="23">
        <f t="shared" si="1"/>
        <v>0</v>
      </c>
      <c r="J14" s="23"/>
      <c r="K14" s="23"/>
      <c r="L14" s="23"/>
      <c r="M14" s="24"/>
      <c r="N14" s="40"/>
      <c r="O14" s="40"/>
      <c r="P14" s="23"/>
      <c r="Q14" s="23">
        <f t="shared" si="2"/>
        <v>0</v>
      </c>
      <c r="R14" s="23"/>
      <c r="S14" s="23"/>
      <c r="T14" s="23"/>
      <c r="U14" s="23">
        <f t="shared" si="3"/>
        <v>0</v>
      </c>
      <c r="V14" s="23"/>
      <c r="W14" s="23"/>
    </row>
    <row r="15" spans="1:23" s="29" customFormat="1" ht="27.6" hidden="1" x14ac:dyDescent="0.25">
      <c r="A15" s="243" t="s">
        <v>5</v>
      </c>
      <c r="B15" s="30" t="s">
        <v>10</v>
      </c>
      <c r="C15" s="213"/>
      <c r="D15" s="213"/>
      <c r="E15" s="213"/>
      <c r="F15" s="213"/>
      <c r="G15" s="124">
        <f t="shared" si="0"/>
        <v>0</v>
      </c>
      <c r="H15" s="23"/>
      <c r="I15" s="23">
        <f t="shared" si="1"/>
        <v>0</v>
      </c>
      <c r="J15" s="23"/>
      <c r="K15" s="23"/>
      <c r="L15" s="23"/>
      <c r="M15" s="28"/>
      <c r="N15" s="42"/>
      <c r="O15" s="42"/>
      <c r="P15" s="23"/>
      <c r="Q15" s="23">
        <f t="shared" si="2"/>
        <v>0</v>
      </c>
      <c r="R15" s="23"/>
      <c r="S15" s="23"/>
      <c r="T15" s="23"/>
      <c r="U15" s="23">
        <f t="shared" si="3"/>
        <v>0</v>
      </c>
      <c r="V15" s="23"/>
      <c r="W15" s="23"/>
    </row>
    <row r="16" spans="1:23" s="29" customFormat="1" ht="27.6" hidden="1" x14ac:dyDescent="0.25">
      <c r="A16" s="243" t="s">
        <v>6</v>
      </c>
      <c r="B16" s="30" t="s">
        <v>11</v>
      </c>
      <c r="C16" s="213"/>
      <c r="D16" s="213"/>
      <c r="E16" s="213"/>
      <c r="F16" s="213"/>
      <c r="G16" s="124">
        <f t="shared" si="0"/>
        <v>0</v>
      </c>
      <c r="H16" s="23"/>
      <c r="I16" s="23">
        <f t="shared" si="1"/>
        <v>0</v>
      </c>
      <c r="J16" s="23"/>
      <c r="K16" s="23"/>
      <c r="L16" s="23"/>
      <c r="M16" s="28"/>
      <c r="N16" s="42"/>
      <c r="O16" s="42"/>
      <c r="P16" s="23"/>
      <c r="Q16" s="23">
        <f t="shared" si="2"/>
        <v>0</v>
      </c>
      <c r="R16" s="23"/>
      <c r="S16" s="23"/>
      <c r="T16" s="23"/>
      <c r="U16" s="23">
        <f t="shared" si="3"/>
        <v>0</v>
      </c>
      <c r="V16" s="23"/>
      <c r="W16" s="23"/>
    </row>
    <row r="17" spans="1:23" s="29" customFormat="1" ht="27.6" hidden="1" x14ac:dyDescent="0.25">
      <c r="A17" s="243" t="s">
        <v>7</v>
      </c>
      <c r="B17" s="30" t="s">
        <v>13</v>
      </c>
      <c r="C17" s="213"/>
      <c r="D17" s="213"/>
      <c r="E17" s="213"/>
      <c r="F17" s="213"/>
      <c r="G17" s="124">
        <f t="shared" si="0"/>
        <v>0</v>
      </c>
      <c r="H17" s="31"/>
      <c r="I17" s="23">
        <f t="shared" si="1"/>
        <v>0</v>
      </c>
      <c r="J17" s="31"/>
      <c r="K17" s="31"/>
      <c r="L17" s="31"/>
      <c r="M17" s="32"/>
      <c r="N17" s="42"/>
      <c r="O17" s="42"/>
      <c r="P17" s="31"/>
      <c r="Q17" s="23">
        <f t="shared" si="2"/>
        <v>0</v>
      </c>
      <c r="R17" s="31"/>
      <c r="S17" s="31"/>
      <c r="T17" s="31"/>
      <c r="U17" s="23">
        <f t="shared" si="3"/>
        <v>0</v>
      </c>
      <c r="V17" s="31"/>
      <c r="W17" s="31"/>
    </row>
    <row r="18" spans="1:23" s="29" customFormat="1" ht="27.6" hidden="1" x14ac:dyDescent="0.3">
      <c r="A18" s="243" t="s">
        <v>12</v>
      </c>
      <c r="B18" s="30" t="s">
        <v>3</v>
      </c>
      <c r="C18" s="213"/>
      <c r="D18" s="213"/>
      <c r="E18" s="213"/>
      <c r="F18" s="213"/>
      <c r="G18" s="124">
        <f t="shared" si="0"/>
        <v>0</v>
      </c>
      <c r="H18" s="23"/>
      <c r="I18" s="23">
        <f t="shared" si="1"/>
        <v>0</v>
      </c>
      <c r="J18" s="23"/>
      <c r="K18" s="23"/>
      <c r="L18" s="23"/>
      <c r="M18" s="33"/>
      <c r="N18" s="18"/>
      <c r="O18" s="18"/>
      <c r="P18" s="23"/>
      <c r="Q18" s="23">
        <f t="shared" si="2"/>
        <v>0</v>
      </c>
      <c r="R18" s="23"/>
      <c r="S18" s="23"/>
      <c r="T18" s="23"/>
      <c r="U18" s="23">
        <f t="shared" si="3"/>
        <v>0</v>
      </c>
      <c r="V18" s="23"/>
      <c r="W18" s="23"/>
    </row>
    <row r="19" spans="1:23" s="29" customFormat="1" ht="69" hidden="1" x14ac:dyDescent="0.25">
      <c r="A19" s="241">
        <v>2</v>
      </c>
      <c r="B19" s="22" t="s">
        <v>94</v>
      </c>
      <c r="C19" s="124">
        <v>888200</v>
      </c>
      <c r="D19" s="124"/>
      <c r="E19" s="124">
        <v>888174</v>
      </c>
      <c r="F19" s="124"/>
      <c r="G19" s="124">
        <f t="shared" si="0"/>
        <v>0</v>
      </c>
      <c r="H19" s="23">
        <f>H21+H22+H23+H24+H25</f>
        <v>0</v>
      </c>
      <c r="I19" s="23">
        <f>J19+K19</f>
        <v>0</v>
      </c>
      <c r="J19" s="23">
        <f t="shared" ref="J19:L19" si="4">J21+J22+J23+J24+J25</f>
        <v>0</v>
      </c>
      <c r="K19" s="23">
        <f t="shared" si="4"/>
        <v>0</v>
      </c>
      <c r="L19" s="23">
        <f t="shared" si="4"/>
        <v>0</v>
      </c>
      <c r="M19" s="24"/>
      <c r="N19" s="202"/>
      <c r="O19" s="202"/>
      <c r="P19" s="23">
        <f t="shared" ref="P19" si="5">P21+P22+P23+P24+P25</f>
        <v>0</v>
      </c>
      <c r="Q19" s="23">
        <f>R19+S19</f>
        <v>0</v>
      </c>
      <c r="R19" s="23">
        <f t="shared" ref="R19:T19" si="6">R21+R22+R23+R24+R25</f>
        <v>0</v>
      </c>
      <c r="S19" s="23">
        <f t="shared" si="6"/>
        <v>0</v>
      </c>
      <c r="T19" s="23">
        <f t="shared" si="6"/>
        <v>0</v>
      </c>
      <c r="U19" s="23">
        <f>V19+W19</f>
        <v>0</v>
      </c>
      <c r="V19" s="23">
        <f t="shared" ref="V19:W19" si="7">V21+V22+V23+V24+V25</f>
        <v>0</v>
      </c>
      <c r="W19" s="23">
        <f t="shared" si="7"/>
        <v>0</v>
      </c>
    </row>
    <row r="20" spans="1:23" s="25" customFormat="1" ht="14.45" hidden="1" x14ac:dyDescent="0.3">
      <c r="A20" s="242"/>
      <c r="B20" s="27" t="s">
        <v>1</v>
      </c>
      <c r="C20" s="26"/>
      <c r="D20" s="26"/>
      <c r="E20" s="26"/>
      <c r="F20" s="26"/>
      <c r="G20" s="26"/>
      <c r="H20" s="23"/>
      <c r="I20" s="23">
        <f t="shared" ref="I20:I37" si="8">J20+K20</f>
        <v>0</v>
      </c>
      <c r="J20" s="23"/>
      <c r="K20" s="23"/>
      <c r="L20" s="23"/>
      <c r="M20" s="24"/>
      <c r="N20" s="202"/>
      <c r="O20" s="202"/>
      <c r="P20" s="23"/>
      <c r="Q20" s="23">
        <f t="shared" ref="Q20:Q37" si="9">R20+S20</f>
        <v>0</v>
      </c>
      <c r="R20" s="23"/>
      <c r="S20" s="23"/>
      <c r="T20" s="23"/>
      <c r="U20" s="23">
        <f t="shared" ref="U20:U37" si="10">V20+W20</f>
        <v>0</v>
      </c>
      <c r="V20" s="23"/>
      <c r="W20" s="23"/>
    </row>
    <row r="21" spans="1:23" s="25" customFormat="1" ht="14.45" hidden="1" x14ac:dyDescent="0.3">
      <c r="A21" s="243" t="s">
        <v>4</v>
      </c>
      <c r="B21" s="28" t="s">
        <v>2</v>
      </c>
      <c r="C21" s="23"/>
      <c r="D21" s="23"/>
      <c r="E21" s="23"/>
      <c r="F21" s="23"/>
      <c r="G21" s="23"/>
      <c r="H21" s="23"/>
      <c r="I21" s="23">
        <f t="shared" si="8"/>
        <v>0</v>
      </c>
      <c r="J21" s="23"/>
      <c r="K21" s="23"/>
      <c r="L21" s="23"/>
      <c r="M21" s="24"/>
      <c r="N21" s="202"/>
      <c r="O21" s="202"/>
      <c r="P21" s="23"/>
      <c r="Q21" s="23">
        <f t="shared" si="9"/>
        <v>0</v>
      </c>
      <c r="R21" s="23"/>
      <c r="S21" s="23"/>
      <c r="T21" s="23"/>
      <c r="U21" s="23">
        <f t="shared" si="10"/>
        <v>0</v>
      </c>
      <c r="V21" s="23"/>
      <c r="W21" s="23"/>
    </row>
    <row r="22" spans="1:23" s="25" customFormat="1" ht="53.45" hidden="1" customHeight="1" x14ac:dyDescent="0.3">
      <c r="A22" s="243" t="s">
        <v>5</v>
      </c>
      <c r="B22" s="30" t="s">
        <v>10</v>
      </c>
      <c r="C22" s="213"/>
      <c r="D22" s="213"/>
      <c r="E22" s="213"/>
      <c r="F22" s="213"/>
      <c r="G22" s="213"/>
      <c r="H22" s="23"/>
      <c r="I22" s="23">
        <f t="shared" si="8"/>
        <v>0</v>
      </c>
      <c r="J22" s="23"/>
      <c r="K22" s="23"/>
      <c r="L22" s="23"/>
      <c r="M22" s="28"/>
      <c r="N22" s="202"/>
      <c r="O22" s="202"/>
      <c r="P22" s="23"/>
      <c r="Q22" s="23">
        <f t="shared" si="9"/>
        <v>0</v>
      </c>
      <c r="R22" s="23"/>
      <c r="S22" s="23"/>
      <c r="T22" s="23"/>
      <c r="U22" s="23">
        <f t="shared" si="10"/>
        <v>0</v>
      </c>
      <c r="V22" s="23"/>
      <c r="W22" s="23"/>
    </row>
    <row r="23" spans="1:23" s="29" customFormat="1" ht="27.6" hidden="1" x14ac:dyDescent="0.25">
      <c r="A23" s="243" t="s">
        <v>6</v>
      </c>
      <c r="B23" s="30" t="s">
        <v>11</v>
      </c>
      <c r="C23" s="213"/>
      <c r="D23" s="213"/>
      <c r="E23" s="213"/>
      <c r="F23" s="213"/>
      <c r="G23" s="213"/>
      <c r="H23" s="23"/>
      <c r="I23" s="23">
        <f t="shared" si="8"/>
        <v>0</v>
      </c>
      <c r="J23" s="23"/>
      <c r="K23" s="23"/>
      <c r="L23" s="23"/>
      <c r="M23" s="28"/>
      <c r="N23" s="202"/>
      <c r="O23" s="202"/>
      <c r="P23" s="23"/>
      <c r="Q23" s="23">
        <f t="shared" si="9"/>
        <v>0</v>
      </c>
      <c r="R23" s="23"/>
      <c r="S23" s="23"/>
      <c r="T23" s="23"/>
      <c r="U23" s="23">
        <f t="shared" si="10"/>
        <v>0</v>
      </c>
      <c r="V23" s="23"/>
      <c r="W23" s="23"/>
    </row>
    <row r="24" spans="1:23" s="29" customFormat="1" ht="27.6" hidden="1" x14ac:dyDescent="0.25">
      <c r="A24" s="243" t="s">
        <v>7</v>
      </c>
      <c r="B24" s="30" t="s">
        <v>13</v>
      </c>
      <c r="C24" s="213"/>
      <c r="D24" s="213"/>
      <c r="E24" s="213"/>
      <c r="F24" s="213"/>
      <c r="G24" s="213"/>
      <c r="H24" s="31"/>
      <c r="I24" s="23">
        <f t="shared" si="8"/>
        <v>0</v>
      </c>
      <c r="J24" s="31"/>
      <c r="K24" s="31"/>
      <c r="L24" s="31"/>
      <c r="M24" s="32"/>
      <c r="N24" s="202"/>
      <c r="O24" s="202"/>
      <c r="P24" s="31"/>
      <c r="Q24" s="23">
        <f t="shared" si="9"/>
        <v>0</v>
      </c>
      <c r="R24" s="31"/>
      <c r="S24" s="31"/>
      <c r="T24" s="31"/>
      <c r="U24" s="23">
        <f t="shared" si="10"/>
        <v>0</v>
      </c>
      <c r="V24" s="31"/>
      <c r="W24" s="31"/>
    </row>
    <row r="25" spans="1:23" s="29" customFormat="1" ht="27.6" hidden="1" x14ac:dyDescent="0.25">
      <c r="A25" s="243" t="s">
        <v>12</v>
      </c>
      <c r="B25" s="30" t="s">
        <v>3</v>
      </c>
      <c r="C25" s="213"/>
      <c r="D25" s="213"/>
      <c r="E25" s="213"/>
      <c r="F25" s="213"/>
      <c r="G25" s="213"/>
      <c r="H25" s="23"/>
      <c r="I25" s="23">
        <f t="shared" si="8"/>
        <v>0</v>
      </c>
      <c r="J25" s="23"/>
      <c r="K25" s="23"/>
      <c r="L25" s="23"/>
      <c r="M25" s="33"/>
      <c r="N25" s="202"/>
      <c r="O25" s="202"/>
      <c r="P25" s="23"/>
      <c r="Q25" s="23">
        <f t="shared" si="9"/>
        <v>0</v>
      </c>
      <c r="R25" s="23"/>
      <c r="S25" s="23"/>
      <c r="T25" s="23"/>
      <c r="U25" s="23">
        <f t="shared" si="10"/>
        <v>0</v>
      </c>
      <c r="V25" s="23"/>
      <c r="W25" s="23"/>
    </row>
    <row r="26" spans="1:23" s="11" customFormat="1" ht="13.9" hidden="1" x14ac:dyDescent="0.25">
      <c r="A26" s="234">
        <v>3</v>
      </c>
      <c r="B26" s="13"/>
      <c r="C26" s="5"/>
      <c r="D26" s="5"/>
      <c r="E26" s="5"/>
      <c r="F26" s="5"/>
      <c r="G26" s="5"/>
      <c r="H26" s="8"/>
      <c r="I26" s="8">
        <f t="shared" si="8"/>
        <v>0</v>
      </c>
      <c r="J26" s="8"/>
      <c r="K26" s="8"/>
      <c r="L26" s="8"/>
      <c r="M26" s="34"/>
      <c r="N26" s="202"/>
      <c r="O26" s="202"/>
      <c r="P26" s="8"/>
      <c r="Q26" s="8">
        <f t="shared" si="9"/>
        <v>0</v>
      </c>
      <c r="R26" s="8"/>
      <c r="S26" s="8"/>
      <c r="T26" s="8"/>
      <c r="U26" s="8">
        <f t="shared" si="10"/>
        <v>0</v>
      </c>
      <c r="V26" s="8"/>
      <c r="W26" s="8"/>
    </row>
    <row r="27" spans="1:23" s="11" customFormat="1" ht="13.9" hidden="1" x14ac:dyDescent="0.25">
      <c r="A27" s="234">
        <v>4</v>
      </c>
      <c r="B27" s="13"/>
      <c r="C27" s="5"/>
      <c r="D27" s="5"/>
      <c r="E27" s="5"/>
      <c r="F27" s="5"/>
      <c r="G27" s="5"/>
      <c r="H27" s="8"/>
      <c r="I27" s="8">
        <f t="shared" si="8"/>
        <v>0</v>
      </c>
      <c r="J27" s="8"/>
      <c r="K27" s="8"/>
      <c r="L27" s="8"/>
      <c r="M27" s="34"/>
      <c r="N27" s="202"/>
      <c r="O27" s="202"/>
      <c r="P27" s="8"/>
      <c r="Q27" s="8">
        <f t="shared" si="9"/>
        <v>0</v>
      </c>
      <c r="R27" s="8"/>
      <c r="S27" s="8"/>
      <c r="T27" s="8"/>
      <c r="U27" s="8">
        <f t="shared" si="10"/>
        <v>0</v>
      </c>
      <c r="V27" s="8"/>
      <c r="W27" s="8"/>
    </row>
    <row r="28" spans="1:23" s="11" customFormat="1" ht="13.9" hidden="1" x14ac:dyDescent="0.25">
      <c r="A28" s="234">
        <v>5</v>
      </c>
      <c r="B28" s="13"/>
      <c r="C28" s="5"/>
      <c r="D28" s="5"/>
      <c r="E28" s="5"/>
      <c r="F28" s="5"/>
      <c r="G28" s="5"/>
      <c r="H28" s="8"/>
      <c r="I28" s="8">
        <f t="shared" si="8"/>
        <v>0</v>
      </c>
      <c r="J28" s="8"/>
      <c r="K28" s="8"/>
      <c r="L28" s="8"/>
      <c r="M28" s="34"/>
      <c r="N28" s="202"/>
      <c r="O28" s="202"/>
      <c r="P28" s="8"/>
      <c r="Q28" s="8">
        <f t="shared" si="9"/>
        <v>0</v>
      </c>
      <c r="R28" s="8"/>
      <c r="S28" s="8"/>
      <c r="T28" s="8"/>
      <c r="U28" s="8">
        <f t="shared" si="10"/>
        <v>0</v>
      </c>
      <c r="V28" s="8"/>
      <c r="W28" s="8"/>
    </row>
    <row r="29" spans="1:23" s="19" customFormat="1" ht="14.45" hidden="1" x14ac:dyDescent="0.3">
      <c r="A29" s="234">
        <v>6</v>
      </c>
      <c r="B29" s="13"/>
      <c r="C29" s="5"/>
      <c r="D29" s="5"/>
      <c r="E29" s="5"/>
      <c r="F29" s="5"/>
      <c r="G29" s="5"/>
      <c r="H29" s="8"/>
      <c r="I29" s="8">
        <f t="shared" si="8"/>
        <v>0</v>
      </c>
      <c r="J29" s="8"/>
      <c r="K29" s="8"/>
      <c r="L29" s="8"/>
      <c r="M29" s="13"/>
      <c r="N29" s="202"/>
      <c r="O29" s="202"/>
      <c r="P29" s="8"/>
      <c r="Q29" s="8">
        <f t="shared" si="9"/>
        <v>0</v>
      </c>
      <c r="R29" s="8"/>
      <c r="S29" s="8"/>
      <c r="T29" s="8"/>
      <c r="U29" s="8">
        <f t="shared" si="10"/>
        <v>0</v>
      </c>
      <c r="V29" s="8"/>
      <c r="W29" s="8"/>
    </row>
    <row r="30" spans="1:23" s="19" customFormat="1" ht="14.45" hidden="1" x14ac:dyDescent="0.3">
      <c r="A30" s="234">
        <v>7</v>
      </c>
      <c r="B30" s="13"/>
      <c r="C30" s="5"/>
      <c r="D30" s="5"/>
      <c r="E30" s="5"/>
      <c r="F30" s="5"/>
      <c r="G30" s="5"/>
      <c r="H30" s="8"/>
      <c r="I30" s="8">
        <f t="shared" si="8"/>
        <v>0</v>
      </c>
      <c r="J30" s="8"/>
      <c r="K30" s="8"/>
      <c r="L30" s="8"/>
      <c r="M30" s="13"/>
      <c r="N30" s="202"/>
      <c r="O30" s="202"/>
      <c r="P30" s="8"/>
      <c r="Q30" s="8">
        <f t="shared" si="9"/>
        <v>0</v>
      </c>
      <c r="R30" s="8"/>
      <c r="S30" s="8"/>
      <c r="T30" s="8"/>
      <c r="U30" s="8">
        <f t="shared" si="10"/>
        <v>0</v>
      </c>
      <c r="V30" s="8"/>
      <c r="W30" s="8"/>
    </row>
    <row r="31" spans="1:23" s="19" customFormat="1" ht="14.45" hidden="1" x14ac:dyDescent="0.3">
      <c r="A31" s="234">
        <v>8</v>
      </c>
      <c r="B31" s="13"/>
      <c r="C31" s="5"/>
      <c r="D31" s="5"/>
      <c r="E31" s="5"/>
      <c r="F31" s="5"/>
      <c r="G31" s="5"/>
      <c r="H31" s="8"/>
      <c r="I31" s="8">
        <f t="shared" si="8"/>
        <v>0</v>
      </c>
      <c r="J31" s="8"/>
      <c r="K31" s="8"/>
      <c r="L31" s="8"/>
      <c r="M31" s="13"/>
      <c r="N31" s="202"/>
      <c r="O31" s="202"/>
      <c r="P31" s="8"/>
      <c r="Q31" s="8">
        <f t="shared" si="9"/>
        <v>0</v>
      </c>
      <c r="R31" s="8"/>
      <c r="S31" s="8"/>
      <c r="T31" s="8"/>
      <c r="U31" s="8">
        <f t="shared" si="10"/>
        <v>0</v>
      </c>
      <c r="V31" s="8"/>
      <c r="W31" s="8"/>
    </row>
    <row r="32" spans="1:23" s="19" customFormat="1" ht="14.45" hidden="1" x14ac:dyDescent="0.3">
      <c r="A32" s="234">
        <v>9</v>
      </c>
      <c r="B32" s="13"/>
      <c r="C32" s="5"/>
      <c r="D32" s="5"/>
      <c r="E32" s="5"/>
      <c r="F32" s="5"/>
      <c r="G32" s="5"/>
      <c r="H32" s="8"/>
      <c r="I32" s="8">
        <f t="shared" si="8"/>
        <v>0</v>
      </c>
      <c r="J32" s="8"/>
      <c r="K32" s="8"/>
      <c r="L32" s="8"/>
      <c r="M32" s="13"/>
      <c r="N32" s="202"/>
      <c r="O32" s="202"/>
      <c r="P32" s="8"/>
      <c r="Q32" s="8">
        <f t="shared" si="9"/>
        <v>0</v>
      </c>
      <c r="R32" s="8"/>
      <c r="S32" s="8"/>
      <c r="T32" s="8"/>
      <c r="U32" s="8">
        <f t="shared" si="10"/>
        <v>0</v>
      </c>
      <c r="V32" s="8"/>
      <c r="W32" s="8"/>
    </row>
    <row r="33" spans="1:23" s="19" customFormat="1" ht="14.45" hidden="1" x14ac:dyDescent="0.3">
      <c r="A33" s="234">
        <v>10</v>
      </c>
      <c r="B33" s="13"/>
      <c r="C33" s="5"/>
      <c r="D33" s="5"/>
      <c r="E33" s="5"/>
      <c r="F33" s="5"/>
      <c r="G33" s="5"/>
      <c r="H33" s="8"/>
      <c r="I33" s="8">
        <f t="shared" si="8"/>
        <v>0</v>
      </c>
      <c r="J33" s="8"/>
      <c r="K33" s="8"/>
      <c r="L33" s="8"/>
      <c r="M33" s="13"/>
      <c r="N33" s="202"/>
      <c r="O33" s="202"/>
      <c r="P33" s="8"/>
      <c r="Q33" s="8">
        <f t="shared" si="9"/>
        <v>0</v>
      </c>
      <c r="R33" s="8"/>
      <c r="S33" s="8"/>
      <c r="T33" s="8"/>
      <c r="U33" s="8">
        <f t="shared" si="10"/>
        <v>0</v>
      </c>
      <c r="V33" s="8"/>
      <c r="W33" s="8"/>
    </row>
    <row r="34" spans="1:23" s="19" customFormat="1" ht="14.45" hidden="1" x14ac:dyDescent="0.3">
      <c r="A34" s="234">
        <v>11</v>
      </c>
      <c r="B34" s="13"/>
      <c r="C34" s="5"/>
      <c r="D34" s="5"/>
      <c r="E34" s="5"/>
      <c r="F34" s="5"/>
      <c r="G34" s="5"/>
      <c r="H34" s="8"/>
      <c r="I34" s="8">
        <f t="shared" si="8"/>
        <v>0</v>
      </c>
      <c r="J34" s="8"/>
      <c r="K34" s="8"/>
      <c r="L34" s="8"/>
      <c r="M34" s="13"/>
      <c r="N34" s="202"/>
      <c r="O34" s="202"/>
      <c r="P34" s="8"/>
      <c r="Q34" s="8">
        <f t="shared" si="9"/>
        <v>0</v>
      </c>
      <c r="R34" s="8"/>
      <c r="S34" s="8"/>
      <c r="T34" s="8"/>
      <c r="U34" s="8">
        <f t="shared" si="10"/>
        <v>0</v>
      </c>
      <c r="V34" s="8"/>
      <c r="W34" s="8"/>
    </row>
    <row r="35" spans="1:23" s="19" customFormat="1" ht="14.45" hidden="1" x14ac:dyDescent="0.3">
      <c r="A35" s="234">
        <v>12</v>
      </c>
      <c r="B35" s="13"/>
      <c r="C35" s="5"/>
      <c r="D35" s="5"/>
      <c r="E35" s="5"/>
      <c r="F35" s="5"/>
      <c r="G35" s="5"/>
      <c r="H35" s="8"/>
      <c r="I35" s="8">
        <f t="shared" si="8"/>
        <v>0</v>
      </c>
      <c r="J35" s="8"/>
      <c r="K35" s="8"/>
      <c r="L35" s="8"/>
      <c r="M35" s="13"/>
      <c r="N35" s="202"/>
      <c r="O35" s="202"/>
      <c r="P35" s="8"/>
      <c r="Q35" s="8">
        <f t="shared" si="9"/>
        <v>0</v>
      </c>
      <c r="R35" s="8"/>
      <c r="S35" s="8"/>
      <c r="T35" s="8"/>
      <c r="U35" s="8">
        <f t="shared" si="10"/>
        <v>0</v>
      </c>
      <c r="V35" s="8"/>
      <c r="W35" s="8"/>
    </row>
    <row r="36" spans="1:23" s="19" customFormat="1" ht="14.45" hidden="1" x14ac:dyDescent="0.3">
      <c r="A36" s="234">
        <v>13</v>
      </c>
      <c r="B36" s="13"/>
      <c r="C36" s="5"/>
      <c r="D36" s="5"/>
      <c r="E36" s="5"/>
      <c r="F36" s="5"/>
      <c r="G36" s="5"/>
      <c r="H36" s="8"/>
      <c r="I36" s="8">
        <f t="shared" si="8"/>
        <v>0</v>
      </c>
      <c r="J36" s="8"/>
      <c r="K36" s="8"/>
      <c r="L36" s="8"/>
      <c r="M36" s="13"/>
      <c r="N36" s="202"/>
      <c r="O36" s="202"/>
      <c r="P36" s="8"/>
      <c r="Q36" s="8">
        <f t="shared" si="9"/>
        <v>0</v>
      </c>
      <c r="R36" s="8"/>
      <c r="S36" s="8"/>
      <c r="T36" s="8"/>
      <c r="U36" s="8">
        <f t="shared" si="10"/>
        <v>0</v>
      </c>
      <c r="V36" s="8"/>
      <c r="W36" s="8"/>
    </row>
    <row r="37" spans="1:23" s="19" customFormat="1" ht="15.75" hidden="1" customHeight="1" x14ac:dyDescent="0.3">
      <c r="A37" s="234" t="s">
        <v>27</v>
      </c>
      <c r="B37" s="13"/>
      <c r="C37" s="5"/>
      <c r="D37" s="5"/>
      <c r="E37" s="5"/>
      <c r="F37" s="5"/>
      <c r="G37" s="5"/>
      <c r="H37" s="8"/>
      <c r="I37" s="8">
        <f t="shared" si="8"/>
        <v>0</v>
      </c>
      <c r="J37" s="8"/>
      <c r="K37" s="8"/>
      <c r="L37" s="8"/>
      <c r="M37" s="13"/>
      <c r="N37" s="202"/>
      <c r="O37" s="202"/>
      <c r="P37" s="8"/>
      <c r="Q37" s="8">
        <f t="shared" si="9"/>
        <v>0</v>
      </c>
      <c r="R37" s="8"/>
      <c r="S37" s="8"/>
      <c r="T37" s="8"/>
      <c r="U37" s="8">
        <f t="shared" si="10"/>
        <v>0</v>
      </c>
      <c r="V37" s="8"/>
      <c r="W37" s="8"/>
    </row>
    <row r="38" spans="1:23" s="19" customFormat="1" ht="15.75" customHeight="1" x14ac:dyDescent="0.3">
      <c r="A38" s="234"/>
      <c r="B38" s="13"/>
      <c r="C38" s="5"/>
      <c r="D38" s="5"/>
      <c r="E38" s="5"/>
      <c r="F38" s="5"/>
      <c r="G38" s="5"/>
      <c r="H38" s="8"/>
      <c r="I38" s="8"/>
      <c r="J38" s="8"/>
      <c r="K38" s="8"/>
      <c r="L38" s="8"/>
      <c r="M38" s="13"/>
      <c r="N38" s="202"/>
      <c r="O38" s="202"/>
      <c r="P38" s="8"/>
      <c r="Q38" s="8"/>
      <c r="R38" s="8"/>
      <c r="S38" s="8"/>
      <c r="T38" s="8"/>
      <c r="U38" s="8"/>
      <c r="V38" s="8"/>
      <c r="W38" s="8"/>
    </row>
    <row r="39" spans="1:23" s="1" customFormat="1" x14ac:dyDescent="0.25">
      <c r="A39" s="237"/>
      <c r="B39" s="15" t="s">
        <v>14</v>
      </c>
      <c r="C39" s="142">
        <f>C12+C19</f>
        <v>125732500</v>
      </c>
      <c r="D39" s="142">
        <f>D12+D19</f>
        <v>6638838.54</v>
      </c>
      <c r="E39" s="142">
        <f>E12+E19</f>
        <v>888174</v>
      </c>
      <c r="F39" s="142">
        <f>F12+F19</f>
        <v>0</v>
      </c>
      <c r="G39" s="142">
        <f>G12+G19</f>
        <v>33439263.16</v>
      </c>
      <c r="H39" s="16">
        <f>SUM(H26:H37)+H19+H12</f>
        <v>31767300</v>
      </c>
      <c r="I39" s="16">
        <f t="shared" ref="I39:W39" si="11">SUM(I12:I22)</f>
        <v>1671963.16</v>
      </c>
      <c r="J39" s="16">
        <f t="shared" si="11"/>
        <v>1671963.16</v>
      </c>
      <c r="K39" s="16">
        <f t="shared" si="11"/>
        <v>0</v>
      </c>
      <c r="L39" s="16">
        <f t="shared" si="11"/>
        <v>0</v>
      </c>
      <c r="M39" s="16"/>
      <c r="N39" s="18">
        <f t="shared" si="11"/>
        <v>0</v>
      </c>
      <c r="O39" s="18">
        <f t="shared" si="11"/>
        <v>0</v>
      </c>
      <c r="P39" s="16">
        <f t="shared" si="11"/>
        <v>23656200</v>
      </c>
      <c r="Q39" s="16">
        <f t="shared" si="11"/>
        <v>1245063.1599999999</v>
      </c>
      <c r="R39" s="16">
        <f t="shared" si="11"/>
        <v>1245063.1599999999</v>
      </c>
      <c r="S39" s="16">
        <f t="shared" si="11"/>
        <v>0</v>
      </c>
      <c r="T39" s="16">
        <f t="shared" si="11"/>
        <v>23656200</v>
      </c>
      <c r="U39" s="16">
        <f t="shared" si="11"/>
        <v>1245063.1599999999</v>
      </c>
      <c r="V39" s="16">
        <f t="shared" si="11"/>
        <v>1245063.1599999999</v>
      </c>
      <c r="W39" s="16">
        <f t="shared" si="11"/>
        <v>0</v>
      </c>
    </row>
  </sheetData>
  <customSheetViews>
    <customSheetView guid="{F55D2626-B25D-4865-88D7-A4040A583D45}" scale="90" showPageBreaks="1" fitToPage="1" hiddenRows="1" topLeftCell="D1">
      <pane ySplit="11" topLeftCell="A12" activePane="bottomLeft" state="frozen"/>
      <selection pane="bottomLeft" activeCell="N39" sqref="N39:O39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"/>
    </customSheetView>
    <customSheetView guid="{9D6C8421-31F4-449D-B427-1D13044E970D}" scale="90" showPageBreaks="1" fitToPage="1" hiddenRows="1" topLeftCell="F1">
      <pane ySplit="11" topLeftCell="A12" activePane="bottomLeft" state="frozen"/>
      <selection pane="bottomLeft" activeCell="D12" sqref="D12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2"/>
    </customSheetView>
    <customSheetView guid="{CCAC52F4-1AE6-4B0C-B39F-86F6AB8E32E1}" scale="90" showPageBreaks="1" fitToPage="1" hiddenRows="1">
      <pane ySplit="11" topLeftCell="A12" activePane="bottomLeft" state="frozen"/>
      <selection pane="bottomLeft" activeCell="B12" sqref="B12"/>
      <pageMargins left="0.31496062992125984" right="0.31496062992125984" top="0.35433070866141736" bottom="0.35433070866141736" header="0.31496062992125984" footer="0.31496062992125984"/>
      <pageSetup paperSize="9" scale="33" fitToHeight="2" orientation="landscape" verticalDpi="180" r:id="rId3"/>
    </customSheetView>
    <customSheetView guid="{8286488C-3E2A-4969-AFC8-11C0D17DBFA2}" scale="90" showPageBreaks="1" fitToPage="1" hiddenRows="1" topLeftCell="E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4"/>
    </customSheetView>
    <customSheetView guid="{9FDA873B-3790-49DF-BB2A-AB29A0E400EE}" scale="90" fitToPage="1" hiddenRows="1">
      <pane ySplit="11" topLeftCell="A12" activePane="bottomLeft" state="frozen"/>
      <selection pane="bottomLeft" activeCell="D12" sqref="D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5"/>
    </customSheetView>
    <customSheetView guid="{A8921178-F68B-4A7A-94A0-4276A60BD3E0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6"/>
    </customSheetView>
    <customSheetView guid="{018285DA-3408-490C-ABEC-1F81E9B027B8}" scale="90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7"/>
    </customSheetView>
    <customSheetView guid="{252DDAAD-7623-465E-8DD1-187342A6B6D8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8"/>
    </customSheetView>
    <customSheetView guid="{D8A19DD2-30A5-49C4-B365-269F2931D330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9"/>
    </customSheetView>
    <customSheetView guid="{6D6F00BA-5393-49B6-B3BC-C80F08FA7E30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0"/>
    </customSheetView>
    <customSheetView guid="{887BBBC8-E1A3-4468-951B-36A5511E64E6}" scale="90" showPageBreaks="1" fitToPage="1" hiddenRows="1" topLeftCell="E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1"/>
    </customSheetView>
    <customSheetView guid="{45FCA6AB-AB6F-4F22-9438-33A76E5A8860}" scale="90" showPageBreaks="1" fitToPage="1" hiddenRows="1" topLeftCell="E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2"/>
    </customSheetView>
    <customSheetView guid="{0D720A5F-1A01-491E-B456-8B8A613064CA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3"/>
    </customSheetView>
    <customSheetView guid="{D5197AC6-1A58-48A0-AB21-B9E0EBB01937}" scale="90" showPageBreaks="1" fitToPage="1" hiddenRows="1">
      <pane ySplit="11" topLeftCell="A12" activePane="bottomLeft" state="frozen"/>
      <selection pane="bottomLeft" activeCell="N42" sqref="N4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4"/>
    </customSheetView>
    <customSheetView guid="{5E847525-B5B0-4151-9870-F971B482221C}" scale="90" showPageBreaks="1" fitToPage="1" hiddenRows="1">
      <pane ySplit="11" topLeftCell="A12" activePane="bottomLeft" state="frozen"/>
      <selection pane="bottomLeft" activeCell="D12" sqref="D12"/>
      <pageMargins left="0.31496062992125984" right="0.31496062992125984" top="0.35433070866141736" bottom="0.35433070866141736" header="0.31496062992125984" footer="0.31496062992125984"/>
      <pageSetup paperSize="9" scale="38" fitToHeight="2" orientation="landscape" verticalDpi="180" r:id="rId15"/>
    </customSheetView>
    <customSheetView guid="{F096868F-4D12-4AA8-9A60-4F727A578110}" scale="90" showPageBreaks="1" fitToPage="1" hiddenRows="1">
      <pane xSplit="2" ySplit="11" topLeftCell="C12" activePane="bottomRight" state="frozen"/>
      <selection pane="bottomRight" activeCell="F44" sqref="F44"/>
      <pageMargins left="0.31496062992125984" right="0.31496062992125984" top="0.35433070866141736" bottom="0.35433070866141736" header="0.31496062992125984" footer="0.31496062992125984"/>
      <pageSetup paperSize="9" scale="29" fitToHeight="2" orientation="landscape" verticalDpi="180" r:id="rId16"/>
    </customSheetView>
  </customSheetViews>
  <mergeCells count="38">
    <mergeCell ref="C6:F6"/>
    <mergeCell ref="C7:D7"/>
    <mergeCell ref="E7:F7"/>
    <mergeCell ref="C8:C10"/>
    <mergeCell ref="D8:D10"/>
    <mergeCell ref="E8:E10"/>
    <mergeCell ref="F8:F10"/>
    <mergeCell ref="L8:L10"/>
    <mergeCell ref="M8:M10"/>
    <mergeCell ref="Q8:Q10"/>
    <mergeCell ref="U8:U10"/>
    <mergeCell ref="V8:W8"/>
    <mergeCell ref="W9:W10"/>
    <mergeCell ref="N6:N10"/>
    <mergeCell ref="O6:O10"/>
    <mergeCell ref="S9:S10"/>
    <mergeCell ref="V9:V10"/>
    <mergeCell ref="P7:P10"/>
    <mergeCell ref="Q7:S7"/>
    <mergeCell ref="T7:T10"/>
    <mergeCell ref="U7:W7"/>
    <mergeCell ref="R8:S8"/>
    <mergeCell ref="G6:G10"/>
    <mergeCell ref="A2:W2"/>
    <mergeCell ref="A4:W4"/>
    <mergeCell ref="A6:A10"/>
    <mergeCell ref="B6:B10"/>
    <mergeCell ref="H6:M6"/>
    <mergeCell ref="P6:S6"/>
    <mergeCell ref="T6:W6"/>
    <mergeCell ref="H7:H10"/>
    <mergeCell ref="I7:K7"/>
    <mergeCell ref="L7:M7"/>
    <mergeCell ref="I8:I10"/>
    <mergeCell ref="J8:K8"/>
    <mergeCell ref="J9:J10"/>
    <mergeCell ref="K9:K10"/>
    <mergeCell ref="R9:R10"/>
  </mergeCells>
  <pageMargins left="0.31496062992125984" right="0.31496062992125984" top="0.35433070866141736" bottom="0.35433070866141736" header="0.31496062992125984" footer="0.31496062992125984"/>
  <pageSetup paperSize="9" scale="31" fitToHeight="2" orientation="landscape" verticalDpi="18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30</vt:i4>
      </vt:variant>
    </vt:vector>
  </HeadingPairs>
  <TitlesOfParts>
    <vt:vector size="61" baseType="lpstr">
      <vt:lpstr>СВОД</vt:lpstr>
      <vt:lpstr>непрограммные расходы</vt:lpstr>
      <vt:lpstr>01_молодежная политика</vt:lpstr>
      <vt:lpstr>02_летний отдых</vt:lpstr>
      <vt:lpstr>03_УМТО</vt:lpstr>
      <vt:lpstr>04_ развитие сферы культуры</vt:lpstr>
      <vt:lpstr>05_ развитие муниц.службы</vt:lpstr>
      <vt:lpstr>06_ охрана труда</vt:lpstr>
      <vt:lpstr>07_равитие жил.сферы</vt:lpstr>
      <vt:lpstr>08_ профилактикаТиЭ</vt:lpstr>
      <vt:lpstr>09_ поддержка СМП</vt:lpstr>
      <vt:lpstr>10_градостроительная деят</vt:lpstr>
      <vt:lpstr>11_проводействие коррупц</vt:lpstr>
      <vt:lpstr>12_информирование</vt:lpstr>
      <vt:lpstr>13_ управление имуществом</vt:lpstr>
      <vt:lpstr>14_ управление муниц.финансами</vt:lpstr>
      <vt:lpstr>15_транспортная</vt:lpstr>
      <vt:lpstr>16_ обеспеч. жильем молодых </vt:lpstr>
      <vt:lpstr>17_ развитие физ.и спорта</vt:lpstr>
      <vt:lpstr>18_ отд.полн.в сфере опеки</vt:lpstr>
      <vt:lpstr>19_поддержка СОНО</vt:lpstr>
      <vt:lpstr>20_ развитие ЖКХ</vt:lpstr>
      <vt:lpstr>22_ ОБЖ</vt:lpstr>
      <vt:lpstr>23_ликвид. приспособ.строений</vt:lpstr>
      <vt:lpstr>24_ эколог.без-ть)</vt:lpstr>
      <vt:lpstr>27_ информац.общество</vt:lpstr>
      <vt:lpstr>28_ развитие образования</vt:lpstr>
      <vt:lpstr>29_ФСГС</vt:lpstr>
      <vt:lpstr>33_ доступ.маломобильных</vt:lpstr>
      <vt:lpstr>лист</vt:lpstr>
      <vt:lpstr>лист (2)</vt:lpstr>
      <vt:lpstr>'01_молодежная политика'!Заголовки_для_печати</vt:lpstr>
      <vt:lpstr>'02_летний отдых'!Заголовки_для_печати</vt:lpstr>
      <vt:lpstr>'03_УМТО'!Заголовки_для_печати</vt:lpstr>
      <vt:lpstr>'04_ развитие сферы культуры'!Заголовки_для_печати</vt:lpstr>
      <vt:lpstr>'05_ развитие муниц.службы'!Заголовки_для_печати</vt:lpstr>
      <vt:lpstr>'06_ охрана труда'!Заголовки_для_печати</vt:lpstr>
      <vt:lpstr>'07_равитие жил.сферы'!Заголовки_для_печати</vt:lpstr>
      <vt:lpstr>'08_ профилактикаТиЭ'!Заголовки_для_печати</vt:lpstr>
      <vt:lpstr>'09_ поддержка СМП'!Заголовки_для_печати</vt:lpstr>
      <vt:lpstr>'10_градостроительная деят'!Заголовки_для_печати</vt:lpstr>
      <vt:lpstr>'11_проводействие коррупц'!Заголовки_для_печати</vt:lpstr>
      <vt:lpstr>'12_информирование'!Заголовки_для_печати</vt:lpstr>
      <vt:lpstr>'13_ управление имуществом'!Заголовки_для_печати</vt:lpstr>
      <vt:lpstr>'14_ управление муниц.финансами'!Заголовки_для_печати</vt:lpstr>
      <vt:lpstr>'15_транспортная'!Заголовки_для_печати</vt:lpstr>
      <vt:lpstr>'16_ обеспеч. жильем молодых '!Заголовки_для_печати</vt:lpstr>
      <vt:lpstr>'17_ развитие физ.и спорта'!Заголовки_для_печати</vt:lpstr>
      <vt:lpstr>'18_ отд.полн.в сфере опеки'!Заголовки_для_печати</vt:lpstr>
      <vt:lpstr>'19_поддержка СОНО'!Заголовки_для_печати</vt:lpstr>
      <vt:lpstr>'20_ развитие ЖКХ'!Заголовки_для_печати</vt:lpstr>
      <vt:lpstr>'22_ ОБЖ'!Заголовки_для_печати</vt:lpstr>
      <vt:lpstr>'23_ликвид. приспособ.строений'!Заголовки_для_печати</vt:lpstr>
      <vt:lpstr>'24_ эколог.без-ть)'!Заголовки_для_печати</vt:lpstr>
      <vt:lpstr>'27_ информац.общество'!Заголовки_для_печати</vt:lpstr>
      <vt:lpstr>'28_ развитие образования'!Заголовки_для_печати</vt:lpstr>
      <vt:lpstr>'29_ФСГС'!Заголовки_для_печати</vt:lpstr>
      <vt:lpstr>'33_ доступ.маломобильных'!Заголовки_для_печати</vt:lpstr>
      <vt:lpstr>лист!Заголовки_для_печати</vt:lpstr>
      <vt:lpstr>'лист (2)'!Заголовки_для_печати</vt:lpstr>
      <vt:lpstr>'непрограммные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Екатерина Владимировна</dc:creator>
  <cp:lastModifiedBy>Дегтярева Юлия Павловна</cp:lastModifiedBy>
  <cp:lastPrinted>2019-10-23T09:38:31Z</cp:lastPrinted>
  <dcterms:created xsi:type="dcterms:W3CDTF">2006-09-28T05:33:49Z</dcterms:created>
  <dcterms:modified xsi:type="dcterms:W3CDTF">2019-10-23T09:40:22Z</dcterms:modified>
</cp:coreProperties>
</file>