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3" activeTab="0"/>
  </bookViews>
  <sheets>
    <sheet name="23.01.2014" sheetId="1" r:id="rId1"/>
  </sheets>
  <definedNames/>
  <calcPr fullCalcOnLoad="1"/>
</workbook>
</file>

<file path=xl/sharedStrings.xml><?xml version="1.0" encoding="utf-8"?>
<sst xmlns="http://schemas.openxmlformats.org/spreadsheetml/2006/main" count="425" uniqueCount="156">
  <si>
    <t xml:space="preserve">Перечень  мероприятий </t>
  </si>
  <si>
    <t>к программе комплексного развития систем коммунальной инфраструктуры  города Покачи на 2011-2015 годы</t>
  </si>
  <si>
    <t>№ п/п</t>
  </si>
  <si>
    <t>Наименование мероприятий</t>
  </si>
  <si>
    <t>Источник финансирования</t>
  </si>
  <si>
    <t>годы</t>
  </si>
  <si>
    <t>Исполнители</t>
  </si>
  <si>
    <t>Блок 1 - Перечень мероприятий по развитию и модернизации объектов ЖКХ</t>
  </si>
  <si>
    <t>местный бюджет</t>
  </si>
  <si>
    <t>МУ «УКС», УЖКХ</t>
  </si>
  <si>
    <t>окружной бюджет</t>
  </si>
  <si>
    <t>прочие источ. финансир.</t>
  </si>
  <si>
    <t>-проектирование КОС</t>
  </si>
  <si>
    <t>-реконструкция  КОС</t>
  </si>
  <si>
    <t>Строительство  наружных  сетей тепловодоснабжения участка от ТП-1П  котельная до ИТП  КСК «Нефтяник»</t>
  </si>
  <si>
    <t xml:space="preserve">Капитальный ремонт КНС </t>
  </si>
  <si>
    <t xml:space="preserve">местный бюджет </t>
  </si>
  <si>
    <t>итого Блоку 1:</t>
  </si>
  <si>
    <t xml:space="preserve"> Блок 2 – Перечень мероприятий по проектированию и строительству инженерных сетей города.</t>
  </si>
  <si>
    <t>итого Блоку 2:</t>
  </si>
  <si>
    <t xml:space="preserve"> Блок 3 – Перечень мероприятий по проектированию и строительству малоэтажной жилой застройки II-го микрорайона, квартал-7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</si>
  <si>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</si>
  <si>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итого Блоку 3:</t>
  </si>
  <si>
    <t xml:space="preserve"> ВСЕГО ПО ПРОГРАММЕ:</t>
  </si>
  <si>
    <t>Реконструкция сетей 0,4 кВ электроснабжения КТПН №70</t>
  </si>
  <si>
    <t>Замена КЛ-0,4 кВ внешнего электроснабжения жилых домов  (ул. Молодежная,д.1,9; ул Ленина,д.18)</t>
  </si>
  <si>
    <t>Реконструкция ТП-10/0,4 кВ города (ТП 4.1.)</t>
  </si>
  <si>
    <t>Капитальный ремонт сетей тепловодоснабжения участка ТК 12-ПБ «Дельфин»</t>
  </si>
  <si>
    <t xml:space="preserve">Проектирование и строительство 10/0,4кВ ТП -5.2 , ТП-5.4 </t>
  </si>
  <si>
    <t>Реконструкция сетей наружного освещения по ул. Аганская</t>
  </si>
  <si>
    <t>Перенос ЛЭП (ВЛ-10 кВ) -реконструкция объекта «Кольцевые сети электроснабжения ВЛ-10 кВ от ПС-35/10 кВ «Городская» в г.Покачи (в т.ч. ПИР)</t>
  </si>
  <si>
    <t xml:space="preserve"> - строительство «Нефтенасосная станция подачи аварийного топлива (стабилизированная нефть) городской котельной г. Покачи»</t>
  </si>
  <si>
    <t xml:space="preserve"> - Корректировка ПИР </t>
  </si>
  <si>
    <t xml:space="preserve">  -  Строительство ЦТП</t>
  </si>
  <si>
    <t xml:space="preserve">  -  Строительство сетей электроснабжения </t>
  </si>
  <si>
    <t xml:space="preserve">  -  Строительство канализационных сетей</t>
  </si>
  <si>
    <t>Строительство объекта "Инженерные сети тепловодоснабжения, канализации, электроснабжения IV микрорайона" , в том числе:</t>
  </si>
  <si>
    <t xml:space="preserve"> - Сети КЛ 10 кВ (кабель) </t>
  </si>
  <si>
    <t xml:space="preserve"> - Сети КЛ 0,4 кВ (кабель) от ТП до ЦТП</t>
  </si>
  <si>
    <t xml:space="preserve"> - Сети ВЛ 0,4 кВ (воздушная-СИП 2а) освещение</t>
  </si>
  <si>
    <t xml:space="preserve"> - ЦТП</t>
  </si>
  <si>
    <t xml:space="preserve"> - Тепловодоснабжениеснабжение Ø219 мм. (ППУ) </t>
  </si>
  <si>
    <r>
      <t xml:space="preserve"> - Тепловодоснабжение </t>
    </r>
    <r>
      <rPr>
        <sz val="9"/>
        <rFont val="Arial Cyr"/>
        <family val="2"/>
      </rPr>
      <t>Ø</t>
    </r>
    <r>
      <rPr>
        <sz val="8.1"/>
        <rFont val="Times New Roman"/>
        <family val="1"/>
      </rPr>
      <t>219 мм. (ППУ) от ул.Молодежная №8 до ЦТП</t>
    </r>
  </si>
  <si>
    <t xml:space="preserve"> - Канализация Ø 150 мм.толщина стенки 12 мм. ст.труба с внутренним полимерным покрытием в усиленной гидроизоляции</t>
  </si>
  <si>
    <t xml:space="preserve"> - Теплоснабжение Ø219 мм. (ППУ) </t>
  </si>
  <si>
    <t xml:space="preserve"> - Канализация Ø 150 мм.толщина стенки 12 мм. ст.труба с внутренним полимерным покрытием в усиленной гидроизоляции (249,1м) </t>
  </si>
  <si>
    <t xml:space="preserve"> - Сети тепловодоснабжения</t>
  </si>
  <si>
    <t xml:space="preserve"> - Канализация Ø 150 мм.толщина стенки 12 мм. ст.труба с внутренним полимерным покрытием в усиленной гидроизоляции </t>
  </si>
  <si>
    <t>Проектирование и реконструкция КОС, в том числе:</t>
  </si>
  <si>
    <t>Строительство «Нефтенасосная станция подачи аварийного топлива (стабилизированная нефть) городской котельной г. Покачи», в том числе:</t>
  </si>
  <si>
    <t>Итого</t>
  </si>
  <si>
    <t>КНС-7</t>
  </si>
  <si>
    <t xml:space="preserve"> КНС- 6</t>
  </si>
  <si>
    <t>Капитальный ремонт электрооборудования ДЭС-2 на городской котельной</t>
  </si>
  <si>
    <t>Проектирование  наружных  сетей тепловодоснабжения участка от ТП-1П  котельная до ИТП  КСК «Нефтяник»</t>
  </si>
  <si>
    <t>КНС-8</t>
  </si>
  <si>
    <t xml:space="preserve">Проектирование и строительство сетей электроснабжения ВОС-ТП -5.2 </t>
  </si>
  <si>
    <t>Капитальный ремонт канализационных колодцев 2 микрорайона.</t>
  </si>
  <si>
    <t>Строительство аэратора-дегазатора на ВОС</t>
  </si>
  <si>
    <t xml:space="preserve"> - проектирование ГРП  I и  II очереди городской котельной</t>
  </si>
  <si>
    <t xml:space="preserve"> капитальный ремонт узлов учета ГРП I и  II очереди городской котельной</t>
  </si>
  <si>
    <t xml:space="preserve">Проектирование и внедрение АИИС КУЭ  третьего уровня 4 микрорайона </t>
  </si>
  <si>
    <t>Реконструкция ВЛ-35кВ Ф№5 ПС 110/35/6кВ "Покачевская"( установка приемных порталов, монтаж ВВ-35кВ)</t>
  </si>
  <si>
    <t>Реконструкция ВЛ-35кВ Ф№6 ПС 110/35/6кВ "Покачевская"( замена МВ -35кВ №1 на ВВ-35кВ)</t>
  </si>
  <si>
    <t>Капитальный ремонт сети тепловодоснабжения по ул. Мира,18 (сети ТС, ГВС, ХВС от ЦТП-6 -МБУЗ "ЦГБ")</t>
  </si>
  <si>
    <t>Проектирование и реконструкция Подстанции 35/10кВ "Городская""в г. Покачи</t>
  </si>
  <si>
    <t>Пояснения</t>
  </si>
  <si>
    <t xml:space="preserve"> средства в бюджете города на 2013-2015 г. не предусмотрены</t>
  </si>
  <si>
    <t>Строительство инженерных сетей  улицы Тихая</t>
  </si>
  <si>
    <t>Строительство инженерных сетей  улицы  Мира</t>
  </si>
  <si>
    <t>Строительство инженерных сетей  улицы  Северная</t>
  </si>
  <si>
    <t>Строительство инженерных сетей  улицы  Сосновая</t>
  </si>
  <si>
    <t>Строительство инженерных сетей  улицы  Весенняя</t>
  </si>
  <si>
    <t>Строительство инженерных сетей  улицы  Молодежная</t>
  </si>
  <si>
    <t>средства в бюджете города на 2013-2015 г. не предусмотрены</t>
  </si>
  <si>
    <t>Капитальный ремонт узлов учета ГРП I и  II очереди городской котельной</t>
  </si>
  <si>
    <t>1440000,0</t>
  </si>
  <si>
    <t>2326000,0</t>
  </si>
  <si>
    <t>478000,0</t>
  </si>
  <si>
    <t>1811100,0</t>
  </si>
  <si>
    <t>26000000,0</t>
  </si>
  <si>
    <t>4907000,0</t>
  </si>
  <si>
    <t>4405000,0</t>
  </si>
  <si>
    <t>3650000,0</t>
  </si>
  <si>
    <t>3414000,0</t>
  </si>
  <si>
    <t>580000,0</t>
  </si>
  <si>
    <t>1402000,0</t>
  </si>
  <si>
    <t>2979000,0</t>
  </si>
  <si>
    <t>403000,0</t>
  </si>
  <si>
    <t>1420000,0</t>
  </si>
  <si>
    <t>2273000,0</t>
  </si>
  <si>
    <t>353000,0</t>
  </si>
  <si>
    <t>5000000,00</t>
  </si>
  <si>
    <t>1000000,00</t>
  </si>
  <si>
    <t>0,0</t>
  </si>
  <si>
    <t>Объем финансирования   руб.</t>
  </si>
  <si>
    <t>6</t>
  </si>
  <si>
    <t>7</t>
  </si>
  <si>
    <t>8</t>
  </si>
  <si>
    <t>9</t>
  </si>
  <si>
    <t>10</t>
  </si>
  <si>
    <t>11</t>
  </si>
  <si>
    <t>13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</si>
  <si>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</si>
  <si>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</si>
  <si>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</si>
  <si>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</si>
  <si>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</si>
  <si>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</si>
  <si>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</si>
  <si>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</si>
  <si>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</si>
  <si>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</si>
  <si>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</si>
  <si>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</si>
  <si>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</si>
  <si>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</si>
  <si>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</si>
  <si>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</si>
  <si>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</si>
  <si>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</t>
  </si>
  <si>
    <t xml:space="preserve">Стоимость объекта  руб. </t>
  </si>
  <si>
    <t>Капитальный ремонт кольцевой сети водоснабжения участка ТК-28 -ПГ ул. Комсомольская, 6\1 ( 144,7 п.м)</t>
  </si>
  <si>
    <t>Капитальный ремонт кольцевой сети водоснабжения участка ул. Молодежная, 11 ул. Комсомольская, 1(25,8 п.м)</t>
  </si>
  <si>
    <t>Капитальный ремонт сетей ХВС участка(ул. Таежная.16-Мира,2), (18 м.п)</t>
  </si>
  <si>
    <t>Капитальный ремонт сетей ТВС участка ТП12(ул. Мира,9), (97м.п)</t>
  </si>
  <si>
    <t>Капитальный ремонтнаружных сетей водоотведения(ул.Ленина,18), (68м.п.)</t>
  </si>
  <si>
    <t>Капитальный ремонт наружных сетей водоотведения(ул. Таежная,2),(35 м.п)</t>
  </si>
  <si>
    <t>Капитальный ремонт сети ХВС с учетом переноса пожгидранта (ул. Тихая)</t>
  </si>
  <si>
    <t>Реконструкция сетей  6,04кВ электроснабжения КТПН №118</t>
  </si>
  <si>
    <t>Капитальный ремонт канализационных колодцев 3 шт.(№64,65 ул. Северная)</t>
  </si>
  <si>
    <t>30</t>
  </si>
  <si>
    <t>31</t>
  </si>
  <si>
    <t>32</t>
  </si>
  <si>
    <t>к решению Думы города Покачи</t>
  </si>
  <si>
    <t>Приложение</t>
  </si>
  <si>
    <t>Приобретение запорной арматуры  (10 единиц)</t>
  </si>
  <si>
    <t>Приобретение неподвижных опор трубопровода тепловой сети  (18 шт.)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</si>
  <si>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</si>
  <si>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</si>
  <si>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</si>
  <si>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</si>
  <si>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</si>
  <si>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</si>
  <si>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</si>
  <si>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</si>
  <si>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</si>
  <si>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Капитальный ремонт ДЭС городской котельной г.Покачи (пусконаладочные работы по замене электронной панели и запуску в автоматическом режиме)</t>
  </si>
  <si>
    <t>Реконструкция ВЛ-35 кВ Ф№5 ПС 110/35/6 кВ "Покачевская" (установка приемных порталов, монтаж ВВ-35 кВ в разрыв цепи)</t>
  </si>
  <si>
    <t>Перевод нагрузок с КПТН №47 на ТП №2.5 в 4 микрорайоне (перевод нагрузок, демонтаж КТПН №47)</t>
  </si>
  <si>
    <t>Реконструкция сетей внешнего электроснабжения жилых домов: ул.Таежная 2, ул.Моложежная 5, ул.Молодежная 7</t>
  </si>
  <si>
    <t>Капитальный ремонт канализационных сетей по ул.Мира 14,16</t>
  </si>
  <si>
    <t>Разработка схемы водоснабжения и водоотведения</t>
  </si>
  <si>
    <t>Мероприятия по реконструкции, модернизации и капитальному ремонту систем теплоснабжения, водоснабжения и водоотведения для подготовки к ОЗП</t>
  </si>
  <si>
    <t xml:space="preserve"> - обследование  и корректировка проекта</t>
  </si>
  <si>
    <t xml:space="preserve">        от 21.02.2014 №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</si>
</sst>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2"/>
    </font>
    <font>
      <sz val="8.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NumberFormat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2" fillId="23" borderId="12" xfId="0" applyNumberFormat="1" applyFont="1" applyFill="1" applyBorder="1" applyAlignment="1">
      <alignment horizontal="center" vertical="center"/>
    </xf>
    <xf numFmtId="4" fontId="22" fillId="23" borderId="12" xfId="0" applyNumberFormat="1" applyFont="1" applyFill="1" applyBorder="1" applyAlignment="1">
      <alignment horizontal="center"/>
    </xf>
    <xf numFmtId="4" fontId="22" fillId="23" borderId="13" xfId="0" applyNumberFormat="1" applyFont="1" applyFill="1" applyBorder="1" applyAlignment="1">
      <alignment horizontal="center" vertical="center"/>
    </xf>
    <xf numFmtId="4" fontId="22" fillId="23" borderId="14" xfId="0" applyNumberFormat="1" applyFont="1" applyFill="1" applyBorder="1" applyAlignment="1">
      <alignment horizontal="center" vertical="center"/>
    </xf>
    <xf numFmtId="4" fontId="22" fillId="23" borderId="10" xfId="0" applyNumberFormat="1" applyFont="1" applyFill="1" applyBorder="1" applyAlignment="1">
      <alignment horizontal="center" vertical="center"/>
    </xf>
    <xf numFmtId="4" fontId="22" fillId="23" borderId="10" xfId="0" applyNumberFormat="1" applyFont="1" applyFill="1" applyBorder="1" applyAlignment="1">
      <alignment horizontal="center"/>
    </xf>
    <xf numFmtId="4" fontId="22" fillId="23" borderId="15" xfId="0" applyNumberFormat="1" applyFont="1" applyFill="1" applyBorder="1" applyAlignment="1">
      <alignment horizontal="center" vertical="center"/>
    </xf>
    <xf numFmtId="4" fontId="22" fillId="23" borderId="11" xfId="0" applyNumberFormat="1" applyFont="1" applyFill="1" applyBorder="1" applyAlignment="1">
      <alignment horizontal="center" vertical="center"/>
    </xf>
    <xf numFmtId="4" fontId="22" fillId="23" borderId="11" xfId="0" applyNumberFormat="1" applyFont="1" applyFill="1" applyBorder="1" applyAlignment="1">
      <alignment horizontal="center"/>
    </xf>
    <xf numFmtId="4" fontId="22" fillId="23" borderId="16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4" fontId="28" fillId="0" borderId="16" xfId="0" applyNumberFormat="1" applyFont="1" applyBorder="1" applyAlignment="1">
      <alignment horizontal="center"/>
    </xf>
    <xf numFmtId="4" fontId="28" fillId="0" borderId="12" xfId="0" applyNumberFormat="1" applyFont="1" applyFill="1" applyBorder="1" applyAlignment="1">
      <alignment horizontal="center"/>
    </xf>
    <xf numFmtId="4" fontId="28" fillId="0" borderId="13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/>
    </xf>
    <xf numFmtId="4" fontId="26" fillId="0" borderId="12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5" fillId="23" borderId="18" xfId="0" applyNumberFormat="1" applyFont="1" applyFill="1" applyBorder="1" applyAlignment="1">
      <alignment vertical="center"/>
    </xf>
    <xf numFmtId="4" fontId="25" fillId="23" borderId="19" xfId="0" applyNumberFormat="1" applyFont="1" applyFill="1" applyBorder="1" applyAlignment="1">
      <alignment horizontal="center" vertical="center"/>
    </xf>
    <xf numFmtId="4" fontId="22" fillId="23" borderId="15" xfId="0" applyNumberFormat="1" applyFont="1" applyFill="1" applyBorder="1" applyAlignment="1">
      <alignment horizontal="center"/>
    </xf>
    <xf numFmtId="4" fontId="22" fillId="23" borderId="16" xfId="0" applyNumberFormat="1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 vertical="center"/>
    </xf>
    <xf numFmtId="4" fontId="22" fillId="23" borderId="20" xfId="0" applyNumberFormat="1" applyFont="1" applyFill="1" applyBorder="1" applyAlignment="1">
      <alignment horizontal="center" vertical="center"/>
    </xf>
    <xf numFmtId="4" fontId="22" fillId="23" borderId="17" xfId="0" applyNumberFormat="1" applyFont="1" applyFill="1" applyBorder="1" applyAlignment="1">
      <alignment horizontal="center" vertical="center"/>
    </xf>
    <xf numFmtId="4" fontId="22" fillId="23" borderId="21" xfId="0" applyNumberFormat="1" applyFont="1" applyFill="1" applyBorder="1" applyAlignment="1">
      <alignment horizontal="center" vertical="center"/>
    </xf>
    <xf numFmtId="4" fontId="22" fillId="23" borderId="0" xfId="0" applyNumberFormat="1" applyFont="1" applyFill="1" applyBorder="1" applyAlignment="1">
      <alignment horizontal="center" vertical="center"/>
    </xf>
    <xf numFmtId="4" fontId="22" fillId="6" borderId="12" xfId="0" applyNumberFormat="1" applyFont="1" applyFill="1" applyBorder="1" applyAlignment="1">
      <alignment horizontal="center" vertical="center"/>
    </xf>
    <xf numFmtId="4" fontId="22" fillId="6" borderId="13" xfId="0" applyNumberFormat="1" applyFont="1" applyFill="1" applyBorder="1" applyAlignment="1">
      <alignment horizontal="center" vertical="center"/>
    </xf>
    <xf numFmtId="4" fontId="22" fillId="6" borderId="10" xfId="0" applyNumberFormat="1" applyFont="1" applyFill="1" applyBorder="1" applyAlignment="1">
      <alignment horizontal="center" vertical="center"/>
    </xf>
    <xf numFmtId="4" fontId="22" fillId="6" borderId="15" xfId="0" applyNumberFormat="1" applyFont="1" applyFill="1" applyBorder="1" applyAlignment="1">
      <alignment horizontal="center" vertical="center"/>
    </xf>
    <xf numFmtId="4" fontId="22" fillId="6" borderId="11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9" fontId="22" fillId="23" borderId="12" xfId="0" applyNumberFormat="1" applyFont="1" applyFill="1" applyBorder="1" applyAlignment="1">
      <alignment horizontal="center" vertical="center"/>
    </xf>
    <xf numFmtId="49" fontId="22" fillId="23" borderId="13" xfId="0" applyNumberFormat="1" applyFont="1" applyFill="1" applyBorder="1" applyAlignment="1">
      <alignment horizontal="center" vertical="center"/>
    </xf>
    <xf numFmtId="49" fontId="22" fillId="23" borderId="10" xfId="0" applyNumberFormat="1" applyFont="1" applyFill="1" applyBorder="1" applyAlignment="1">
      <alignment horizontal="center" vertical="center"/>
    </xf>
    <xf numFmtId="49" fontId="22" fillId="23" borderId="15" xfId="0" applyNumberFormat="1" applyFont="1" applyFill="1" applyBorder="1" applyAlignment="1">
      <alignment horizontal="center" vertical="center"/>
    </xf>
    <xf numFmtId="49" fontId="22" fillId="23" borderId="11" xfId="0" applyNumberFormat="1" applyFont="1" applyFill="1" applyBorder="1" applyAlignment="1">
      <alignment horizontal="center" vertical="center"/>
    </xf>
    <xf numFmtId="49" fontId="22" fillId="23" borderId="16" xfId="0" applyNumberFormat="1" applyFont="1" applyFill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2" fillId="6" borderId="12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>
      <alignment horizontal="center" vertical="center"/>
    </xf>
    <xf numFmtId="49" fontId="22" fillId="6" borderId="11" xfId="0" applyNumberFormat="1" applyFont="1" applyFill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" fontId="25" fillId="23" borderId="19" xfId="0" applyNumberFormat="1" applyFont="1" applyFill="1" applyBorder="1" applyAlignment="1">
      <alignment vertical="center"/>
    </xf>
    <xf numFmtId="4" fontId="22" fillId="23" borderId="24" xfId="0" applyNumberFormat="1" applyFont="1" applyFill="1" applyBorder="1" applyAlignment="1">
      <alignment horizontal="center"/>
    </xf>
    <xf numFmtId="4" fontId="22" fillId="23" borderId="25" xfId="0" applyNumberFormat="1" applyFont="1" applyFill="1" applyBorder="1" applyAlignment="1">
      <alignment horizontal="center"/>
    </xf>
    <xf numFmtId="49" fontId="22" fillId="23" borderId="24" xfId="0" applyNumberFormat="1" applyFont="1" applyFill="1" applyBorder="1" applyAlignment="1">
      <alignment horizontal="center" vertical="center"/>
    </xf>
    <xf numFmtId="4" fontId="22" fillId="23" borderId="24" xfId="0" applyNumberFormat="1" applyFont="1" applyFill="1" applyBorder="1" applyAlignment="1">
      <alignment horizontal="center" vertical="center"/>
    </xf>
    <xf numFmtId="49" fontId="22" fillId="23" borderId="25" xfId="0" applyNumberFormat="1" applyFont="1" applyFill="1" applyBorder="1" applyAlignment="1">
      <alignment horizontal="center" vertical="center"/>
    </xf>
    <xf numFmtId="4" fontId="22" fillId="23" borderId="25" xfId="0" applyNumberFormat="1" applyFont="1" applyFill="1" applyBorder="1" applyAlignment="1">
      <alignment horizontal="center" vertical="center"/>
    </xf>
    <xf numFmtId="4" fontId="22" fillId="23" borderId="26" xfId="0" applyNumberFormat="1" applyFont="1" applyFill="1" applyBorder="1" applyAlignment="1">
      <alignment horizontal="center" vertical="center"/>
    </xf>
    <xf numFmtId="49" fontId="22" fillId="23" borderId="14" xfId="0" applyNumberFormat="1" applyFont="1" applyFill="1" applyBorder="1" applyAlignment="1">
      <alignment horizontal="center" vertical="center"/>
    </xf>
    <xf numFmtId="49" fontId="22" fillId="23" borderId="27" xfId="0" applyNumberFormat="1" applyFont="1" applyFill="1" applyBorder="1" applyAlignment="1">
      <alignment horizontal="center" vertical="center"/>
    </xf>
    <xf numFmtId="49" fontId="22" fillId="23" borderId="28" xfId="0" applyNumberFormat="1" applyFont="1" applyFill="1" applyBorder="1" applyAlignment="1">
      <alignment horizontal="center" vertical="center"/>
    </xf>
    <xf numFmtId="4" fontId="22" fillId="23" borderId="29" xfId="0" applyNumberFormat="1" applyFont="1" applyFill="1" applyBorder="1" applyAlignment="1">
      <alignment horizontal="center" vertical="center"/>
    </xf>
    <xf numFmtId="4" fontId="22" fillId="23" borderId="30" xfId="0" applyNumberFormat="1" applyFont="1" applyFill="1" applyBorder="1" applyAlignment="1">
      <alignment horizontal="center"/>
    </xf>
    <xf numFmtId="4" fontId="22" fillId="23" borderId="30" xfId="0" applyNumberFormat="1" applyFont="1" applyFill="1" applyBorder="1" applyAlignment="1">
      <alignment horizontal="center" vertical="center"/>
    </xf>
    <xf numFmtId="4" fontId="22" fillId="23" borderId="31" xfId="0" applyNumberFormat="1" applyFont="1" applyFill="1" applyBorder="1" applyAlignment="1">
      <alignment horizontal="center"/>
    </xf>
    <xf numFmtId="4" fontId="22" fillId="23" borderId="32" xfId="0" applyNumberFormat="1" applyFont="1" applyFill="1" applyBorder="1" applyAlignment="1">
      <alignment horizontal="center"/>
    </xf>
    <xf numFmtId="4" fontId="22" fillId="23" borderId="33" xfId="0" applyNumberFormat="1" applyFont="1" applyFill="1" applyBorder="1" applyAlignment="1">
      <alignment horizontal="center"/>
    </xf>
    <xf numFmtId="4" fontId="22" fillId="23" borderId="33" xfId="0" applyNumberFormat="1" applyFont="1" applyFill="1" applyBorder="1" applyAlignment="1">
      <alignment horizontal="center" vertical="center"/>
    </xf>
    <xf numFmtId="4" fontId="22" fillId="23" borderId="34" xfId="0" applyNumberFormat="1" applyFont="1" applyFill="1" applyBorder="1" applyAlignment="1">
      <alignment horizontal="center"/>
    </xf>
    <xf numFmtId="49" fontId="22" fillId="23" borderId="35" xfId="0" applyNumberFormat="1" applyFont="1" applyFill="1" applyBorder="1" applyAlignment="1">
      <alignment horizontal="center" vertical="center"/>
    </xf>
    <xf numFmtId="4" fontId="22" fillId="23" borderId="31" xfId="0" applyNumberFormat="1" applyFont="1" applyFill="1" applyBorder="1" applyAlignment="1">
      <alignment horizontal="center" vertical="center"/>
    </xf>
    <xf numFmtId="49" fontId="22" fillId="23" borderId="36" xfId="0" applyNumberFormat="1" applyFont="1" applyFill="1" applyBorder="1" applyAlignment="1">
      <alignment horizontal="center" vertical="center"/>
    </xf>
    <xf numFmtId="4" fontId="22" fillId="23" borderId="32" xfId="0" applyNumberFormat="1" applyFont="1" applyFill="1" applyBorder="1" applyAlignment="1">
      <alignment horizontal="center" vertical="center"/>
    </xf>
    <xf numFmtId="49" fontId="22" fillId="23" borderId="37" xfId="0" applyNumberFormat="1" applyFont="1" applyFill="1" applyBorder="1" applyAlignment="1">
      <alignment horizontal="center" vertical="center"/>
    </xf>
    <xf numFmtId="4" fontId="22" fillId="23" borderId="3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4" fontId="22" fillId="23" borderId="29" xfId="0" applyNumberFormat="1" applyFont="1" applyFill="1" applyBorder="1" applyAlignment="1">
      <alignment horizontal="center"/>
    </xf>
    <xf numFmtId="4" fontId="22" fillId="23" borderId="38" xfId="0" applyNumberFormat="1" applyFont="1" applyFill="1" applyBorder="1" applyAlignment="1">
      <alignment horizontal="center" vertical="center"/>
    </xf>
    <xf numFmtId="4" fontId="22" fillId="23" borderId="39" xfId="0" applyNumberFormat="1" applyFont="1" applyFill="1" applyBorder="1" applyAlignment="1">
      <alignment horizontal="center" vertical="center"/>
    </xf>
    <xf numFmtId="4" fontId="22" fillId="23" borderId="40" xfId="0" applyNumberFormat="1" applyFont="1" applyFill="1" applyBorder="1" applyAlignment="1">
      <alignment horizontal="center" vertical="center"/>
    </xf>
    <xf numFmtId="4" fontId="22" fillId="23" borderId="36" xfId="0" applyNumberFormat="1" applyFont="1" applyFill="1" applyBorder="1" applyAlignment="1">
      <alignment horizontal="center"/>
    </xf>
    <xf numFmtId="4" fontId="22" fillId="23" borderId="37" xfId="0" applyNumberFormat="1" applyFont="1" applyFill="1" applyBorder="1" applyAlignment="1">
      <alignment horizontal="center" vertical="center"/>
    </xf>
    <xf numFmtId="4" fontId="22" fillId="23" borderId="41" xfId="0" applyNumberFormat="1" applyFont="1" applyFill="1" applyBorder="1" applyAlignment="1">
      <alignment horizontal="center"/>
    </xf>
    <xf numFmtId="4" fontId="22" fillId="23" borderId="42" xfId="0" applyNumberFormat="1" applyFont="1" applyFill="1" applyBorder="1" applyAlignment="1">
      <alignment horizontal="center"/>
    </xf>
    <xf numFmtId="4" fontId="22" fillId="23" borderId="35" xfId="0" applyNumberFormat="1" applyFont="1" applyFill="1" applyBorder="1" applyAlignment="1">
      <alignment horizontal="center"/>
    </xf>
    <xf numFmtId="4" fontId="22" fillId="23" borderId="37" xfId="0" applyNumberFormat="1" applyFont="1" applyFill="1" applyBorder="1" applyAlignment="1">
      <alignment horizontal="center"/>
    </xf>
    <xf numFmtId="4" fontId="22" fillId="23" borderId="26" xfId="0" applyNumberFormat="1" applyFont="1" applyFill="1" applyBorder="1" applyAlignment="1">
      <alignment horizontal="center"/>
    </xf>
    <xf numFmtId="4" fontId="22" fillId="23" borderId="43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4" fontId="22" fillId="25" borderId="12" xfId="0" applyNumberFormat="1" applyFont="1" applyFill="1" applyBorder="1" applyAlignment="1">
      <alignment horizontal="center"/>
    </xf>
    <xf numFmtId="4" fontId="22" fillId="25" borderId="10" xfId="0" applyNumberFormat="1" applyFont="1" applyFill="1" applyBorder="1" applyAlignment="1">
      <alignment horizontal="center"/>
    </xf>
    <xf numFmtId="4" fontId="22" fillId="25" borderId="11" xfId="0" applyNumberFormat="1" applyFont="1" applyFill="1" applyBorder="1" applyAlignment="1">
      <alignment horizontal="center"/>
    </xf>
    <xf numFmtId="4" fontId="28" fillId="26" borderId="12" xfId="0" applyNumberFormat="1" applyFont="1" applyFill="1" applyBorder="1" applyAlignment="1">
      <alignment horizontal="center"/>
    </xf>
    <xf numFmtId="4" fontId="28" fillId="26" borderId="10" xfId="0" applyNumberFormat="1" applyFont="1" applyFill="1" applyBorder="1" applyAlignment="1">
      <alignment horizontal="center"/>
    </xf>
    <xf numFmtId="4" fontId="28" fillId="26" borderId="11" xfId="0" applyNumberFormat="1" applyFont="1" applyFill="1" applyBorder="1" applyAlignment="1">
      <alignment horizontal="center"/>
    </xf>
    <xf numFmtId="4" fontId="22" fillId="25" borderId="25" xfId="0" applyNumberFormat="1" applyFont="1" applyFill="1" applyBorder="1" applyAlignment="1">
      <alignment horizontal="center" vertical="center" wrapText="1"/>
    </xf>
    <xf numFmtId="4" fontId="26" fillId="26" borderId="12" xfId="0" applyNumberFormat="1" applyFont="1" applyFill="1" applyBorder="1" applyAlignment="1">
      <alignment horizontal="center"/>
    </xf>
    <xf numFmtId="4" fontId="26" fillId="26" borderId="10" xfId="0" applyNumberFormat="1" applyFont="1" applyFill="1" applyBorder="1" applyAlignment="1">
      <alignment horizontal="center"/>
    </xf>
    <xf numFmtId="4" fontId="26" fillId="26" borderId="11" xfId="0" applyNumberFormat="1" applyFont="1" applyFill="1" applyBorder="1" applyAlignment="1">
      <alignment horizontal="center"/>
    </xf>
    <xf numFmtId="4" fontId="22" fillId="25" borderId="13" xfId="0" applyNumberFormat="1" applyFont="1" applyFill="1" applyBorder="1" applyAlignment="1">
      <alignment horizontal="center"/>
    </xf>
    <xf numFmtId="4" fontId="22" fillId="25" borderId="15" xfId="0" applyNumberFormat="1" applyFont="1" applyFill="1" applyBorder="1" applyAlignment="1">
      <alignment horizontal="center"/>
    </xf>
    <xf numFmtId="4" fontId="22" fillId="25" borderId="29" xfId="0" applyNumberFormat="1" applyFont="1" applyFill="1" applyBorder="1" applyAlignment="1">
      <alignment horizontal="center"/>
    </xf>
    <xf numFmtId="4" fontId="22" fillId="25" borderId="41" xfId="0" applyNumberFormat="1" applyFont="1" applyFill="1" applyBorder="1" applyAlignment="1">
      <alignment horizontal="center"/>
    </xf>
    <xf numFmtId="4" fontId="22" fillId="25" borderId="42" xfId="0" applyNumberFormat="1" applyFont="1" applyFill="1" applyBorder="1" applyAlignment="1">
      <alignment horizontal="center"/>
    </xf>
    <xf numFmtId="4" fontId="22" fillId="25" borderId="26" xfId="0" applyNumberFormat="1" applyFont="1" applyFill="1" applyBorder="1" applyAlignment="1">
      <alignment horizontal="center"/>
    </xf>
    <xf numFmtId="4" fontId="22" fillId="25" borderId="16" xfId="0" applyNumberFormat="1" applyFont="1" applyFill="1" applyBorder="1" applyAlignment="1">
      <alignment horizontal="center"/>
    </xf>
    <xf numFmtId="4" fontId="22" fillId="27" borderId="12" xfId="0" applyNumberFormat="1" applyFont="1" applyFill="1" applyBorder="1" applyAlignment="1">
      <alignment horizontal="center" vertical="center"/>
    </xf>
    <xf numFmtId="4" fontId="22" fillId="27" borderId="10" xfId="0" applyNumberFormat="1" applyFont="1" applyFill="1" applyBorder="1" applyAlignment="1">
      <alignment horizontal="center" vertical="center"/>
    </xf>
    <xf numFmtId="4" fontId="22" fillId="27" borderId="11" xfId="0" applyNumberFormat="1" applyFont="1" applyFill="1" applyBorder="1" applyAlignment="1">
      <alignment horizontal="center" vertical="center"/>
    </xf>
    <xf numFmtId="49" fontId="22" fillId="26" borderId="11" xfId="0" applyNumberFormat="1" applyFont="1" applyFill="1" applyBorder="1" applyAlignment="1">
      <alignment horizontal="center"/>
    </xf>
    <xf numFmtId="4" fontId="28" fillId="26" borderId="12" xfId="0" applyNumberFormat="1" applyFont="1" applyFill="1" applyBorder="1" applyAlignment="1">
      <alignment horizontal="center" vertical="center"/>
    </xf>
    <xf numFmtId="4" fontId="28" fillId="26" borderId="10" xfId="0" applyNumberFormat="1" applyFont="1" applyFill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4" fontId="22" fillId="25" borderId="12" xfId="0" applyNumberFormat="1" applyFont="1" applyFill="1" applyBorder="1" applyAlignment="1">
      <alignment horizontal="center" vertical="center"/>
    </xf>
    <xf numFmtId="4" fontId="22" fillId="25" borderId="10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6" fillId="26" borderId="12" xfId="0" applyNumberFormat="1" applyFont="1" applyFill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2" fontId="26" fillId="26" borderId="11" xfId="0" applyNumberFormat="1" applyFont="1" applyFill="1" applyBorder="1" applyAlignment="1">
      <alignment horizontal="center" vertical="center"/>
    </xf>
    <xf numFmtId="49" fontId="26" fillId="26" borderId="11" xfId="0" applyNumberFormat="1" applyFont="1" applyFill="1" applyBorder="1" applyAlignment="1">
      <alignment horizontal="center" vertical="center"/>
    </xf>
    <xf numFmtId="4" fontId="26" fillId="26" borderId="12" xfId="0" applyNumberFormat="1" applyFont="1" applyFill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/>
    </xf>
    <xf numFmtId="49" fontId="35" fillId="23" borderId="11" xfId="0" applyNumberFormat="1" applyFont="1" applyFill="1" applyBorder="1" applyAlignment="1">
      <alignment horizontal="center" vertical="center"/>
    </xf>
    <xf numFmtId="4" fontId="35" fillId="25" borderId="11" xfId="0" applyNumberFormat="1" applyFont="1" applyFill="1" applyBorder="1" applyAlignment="1">
      <alignment horizontal="center"/>
    </xf>
    <xf numFmtId="4" fontId="35" fillId="23" borderId="10" xfId="0" applyNumberFormat="1" applyFont="1" applyFill="1" applyBorder="1" applyAlignment="1">
      <alignment horizontal="center" vertical="center"/>
    </xf>
    <xf numFmtId="4" fontId="35" fillId="23" borderId="11" xfId="0" applyNumberFormat="1" applyFont="1" applyFill="1" applyBorder="1" applyAlignment="1">
      <alignment horizontal="center" vertical="center"/>
    </xf>
    <xf numFmtId="4" fontId="35" fillId="23" borderId="16" xfId="0" applyNumberFormat="1" applyFont="1" applyFill="1" applyBorder="1" applyAlignment="1">
      <alignment horizontal="center" vertical="center"/>
    </xf>
    <xf numFmtId="4" fontId="35" fillId="23" borderId="4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4" fontId="19" fillId="24" borderId="24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19" fillId="24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2" fillId="23" borderId="45" xfId="0" applyNumberFormat="1" applyFont="1" applyFill="1" applyBorder="1" applyAlignment="1">
      <alignment horizontal="center"/>
    </xf>
    <xf numFmtId="4" fontId="22" fillId="23" borderId="46" xfId="0" applyNumberFormat="1" applyFont="1" applyFill="1" applyBorder="1" applyAlignment="1">
      <alignment horizontal="center"/>
    </xf>
    <xf numFmtId="4" fontId="22" fillId="23" borderId="39" xfId="0" applyNumberFormat="1" applyFont="1" applyFill="1" applyBorder="1" applyAlignment="1">
      <alignment horizontal="center"/>
    </xf>
    <xf numFmtId="4" fontId="22" fillId="23" borderId="47" xfId="0" applyNumberFormat="1" applyFont="1" applyFill="1" applyBorder="1" applyAlignment="1">
      <alignment horizontal="center"/>
    </xf>
    <xf numFmtId="4" fontId="22" fillId="23" borderId="48" xfId="0" applyNumberFormat="1" applyFont="1" applyFill="1" applyBorder="1" applyAlignment="1">
      <alignment horizontal="center"/>
    </xf>
    <xf numFmtId="4" fontId="35" fillId="25" borderId="19" xfId="0" applyNumberFormat="1" applyFont="1" applyFill="1" applyBorder="1" applyAlignment="1">
      <alignment horizontal="center"/>
    </xf>
    <xf numFmtId="4" fontId="22" fillId="28" borderId="12" xfId="0" applyNumberFormat="1" applyFont="1" applyFill="1" applyBorder="1" applyAlignment="1">
      <alignment horizontal="center" vertical="center"/>
    </xf>
    <xf numFmtId="4" fontId="22" fillId="28" borderId="10" xfId="0" applyNumberFormat="1" applyFont="1" applyFill="1" applyBorder="1" applyAlignment="1">
      <alignment horizontal="center" vertical="center"/>
    </xf>
    <xf numFmtId="4" fontId="35" fillId="28" borderId="11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2" fillId="29" borderId="12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 horizontal="center" vertical="center"/>
    </xf>
    <xf numFmtId="4" fontId="22" fillId="29" borderId="49" xfId="0" applyNumberFormat="1" applyFont="1" applyFill="1" applyBorder="1" applyAlignment="1">
      <alignment horizontal="center"/>
    </xf>
    <xf numFmtId="9" fontId="29" fillId="0" borderId="0" xfId="0" applyNumberFormat="1" applyFont="1" applyAlignment="1">
      <alignment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49" fontId="22" fillId="29" borderId="12" xfId="0" applyNumberFormat="1" applyFont="1" applyFill="1" applyBorder="1" applyAlignment="1">
      <alignment horizontal="center" vertical="center"/>
    </xf>
    <xf numFmtId="4" fontId="22" fillId="29" borderId="50" xfId="0" applyNumberFormat="1" applyFont="1" applyFill="1" applyBorder="1" applyAlignment="1">
      <alignment horizontal="center"/>
    </xf>
    <xf numFmtId="4" fontId="22" fillId="29" borderId="35" xfId="0" applyNumberFormat="1" applyFont="1" applyFill="1" applyBorder="1" applyAlignment="1">
      <alignment horizontal="center"/>
    </xf>
    <xf numFmtId="4" fontId="22" fillId="29" borderId="30" xfId="0" applyNumberFormat="1" applyFont="1" applyFill="1" applyBorder="1" applyAlignment="1">
      <alignment horizontal="center"/>
    </xf>
    <xf numFmtId="49" fontId="22" fillId="29" borderId="10" xfId="0" applyNumberFormat="1" applyFont="1" applyFill="1" applyBorder="1" applyAlignment="1">
      <alignment horizontal="center" vertical="center"/>
    </xf>
    <xf numFmtId="4" fontId="22" fillId="29" borderId="51" xfId="0" applyNumberFormat="1" applyFont="1" applyFill="1" applyBorder="1" applyAlignment="1">
      <alignment horizontal="center"/>
    </xf>
    <xf numFmtId="4" fontId="22" fillId="29" borderId="24" xfId="0" applyNumberFormat="1" applyFont="1" applyFill="1" applyBorder="1" applyAlignment="1">
      <alignment horizontal="center"/>
    </xf>
    <xf numFmtId="49" fontId="22" fillId="29" borderId="11" xfId="0" applyNumberFormat="1" applyFont="1" applyFill="1" applyBorder="1" applyAlignment="1">
      <alignment horizontal="center" vertical="center"/>
    </xf>
    <xf numFmtId="4" fontId="22" fillId="29" borderId="52" xfId="0" applyNumberFormat="1" applyFont="1" applyFill="1" applyBorder="1" applyAlignment="1">
      <alignment horizontal="center"/>
    </xf>
    <xf numFmtId="4" fontId="22" fillId="29" borderId="53" xfId="0" applyNumberFormat="1" applyFont="1" applyFill="1" applyBorder="1" applyAlignment="1">
      <alignment horizontal="center"/>
    </xf>
    <xf numFmtId="4" fontId="19" fillId="30" borderId="5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4" fontId="19" fillId="24" borderId="56" xfId="0" applyNumberFormat="1" applyFont="1" applyFill="1" applyBorder="1" applyAlignment="1">
      <alignment horizontal="center" vertical="center"/>
    </xf>
    <xf numFmtId="4" fontId="19" fillId="30" borderId="57" xfId="0" applyNumberFormat="1" applyFont="1" applyFill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 wrapText="1"/>
    </xf>
    <xf numFmtId="4" fontId="22" fillId="23" borderId="58" xfId="0" applyNumberFormat="1" applyFont="1" applyFill="1" applyBorder="1" applyAlignment="1">
      <alignment horizontal="center" vertical="center"/>
    </xf>
    <xf numFmtId="4" fontId="22" fillId="23" borderId="59" xfId="0" applyNumberFormat="1" applyFont="1" applyFill="1" applyBorder="1" applyAlignment="1">
      <alignment horizontal="center" vertical="center"/>
    </xf>
    <xf numFmtId="4" fontId="22" fillId="23" borderId="60" xfId="0" applyNumberFormat="1" applyFont="1" applyFill="1" applyBorder="1" applyAlignment="1">
      <alignment horizontal="center" vertical="center"/>
    </xf>
    <xf numFmtId="4" fontId="28" fillId="0" borderId="58" xfId="0" applyNumberFormat="1" applyFont="1" applyBorder="1" applyAlignment="1">
      <alignment horizontal="center"/>
    </xf>
    <xf numFmtId="4" fontId="28" fillId="0" borderId="59" xfId="0" applyNumberFormat="1" applyFont="1" applyBorder="1" applyAlignment="1">
      <alignment horizontal="center"/>
    </xf>
    <xf numFmtId="4" fontId="28" fillId="0" borderId="60" xfId="0" applyNumberFormat="1" applyFont="1" applyBorder="1" applyAlignment="1">
      <alignment horizontal="center"/>
    </xf>
    <xf numFmtId="4" fontId="28" fillId="0" borderId="56" xfId="0" applyNumberFormat="1" applyFont="1" applyBorder="1" applyAlignment="1">
      <alignment horizontal="center" vertical="center" wrapText="1"/>
    </xf>
    <xf numFmtId="4" fontId="28" fillId="0" borderId="58" xfId="0" applyNumberFormat="1" applyFont="1" applyBorder="1" applyAlignment="1">
      <alignment horizontal="center" vertical="center"/>
    </xf>
    <xf numFmtId="4" fontId="22" fillId="0" borderId="58" xfId="0" applyNumberFormat="1" applyFont="1" applyFill="1" applyBorder="1" applyAlignment="1">
      <alignment horizontal="center" vertical="center"/>
    </xf>
    <xf numFmtId="4" fontId="22" fillId="0" borderId="59" xfId="0" applyNumberFormat="1" applyFont="1" applyFill="1" applyBorder="1" applyAlignment="1">
      <alignment horizontal="center" vertical="center"/>
    </xf>
    <xf numFmtId="4" fontId="22" fillId="0" borderId="60" xfId="0" applyNumberFormat="1" applyFont="1" applyFill="1" applyBorder="1" applyAlignment="1">
      <alignment horizontal="center" vertical="center"/>
    </xf>
    <xf numFmtId="4" fontId="22" fillId="23" borderId="58" xfId="0" applyNumberFormat="1" applyFont="1" applyFill="1" applyBorder="1" applyAlignment="1">
      <alignment horizontal="center"/>
    </xf>
    <xf numFmtId="4" fontId="22" fillId="23" borderId="59" xfId="0" applyNumberFormat="1" applyFont="1" applyFill="1" applyBorder="1" applyAlignment="1">
      <alignment horizontal="center"/>
    </xf>
    <xf numFmtId="4" fontId="22" fillId="23" borderId="56" xfId="0" applyNumberFormat="1" applyFont="1" applyFill="1" applyBorder="1" applyAlignment="1">
      <alignment horizontal="center"/>
    </xf>
    <xf numFmtId="4" fontId="22" fillId="23" borderId="60" xfId="0" applyNumberFormat="1" applyFont="1" applyFill="1" applyBorder="1" applyAlignment="1">
      <alignment horizontal="center"/>
    </xf>
    <xf numFmtId="4" fontId="22" fillId="23" borderId="61" xfId="0" applyNumberFormat="1" applyFont="1" applyFill="1" applyBorder="1" applyAlignment="1">
      <alignment horizontal="center"/>
    </xf>
    <xf numFmtId="4" fontId="22" fillId="23" borderId="62" xfId="0" applyNumberFormat="1" applyFont="1" applyFill="1" applyBorder="1" applyAlignment="1">
      <alignment horizontal="center"/>
    </xf>
    <xf numFmtId="4" fontId="22" fillId="23" borderId="63" xfId="0" applyNumberFormat="1" applyFont="1" applyFill="1" applyBorder="1" applyAlignment="1">
      <alignment horizontal="center"/>
    </xf>
    <xf numFmtId="4" fontId="22" fillId="23" borderId="64" xfId="0" applyNumberFormat="1" applyFont="1" applyFill="1" applyBorder="1" applyAlignment="1">
      <alignment horizontal="center" vertical="center"/>
    </xf>
    <xf numFmtId="4" fontId="35" fillId="23" borderId="60" xfId="0" applyNumberFormat="1" applyFont="1" applyFill="1" applyBorder="1" applyAlignment="1">
      <alignment horizontal="center" vertical="center"/>
    </xf>
    <xf numFmtId="4" fontId="22" fillId="28" borderId="13" xfId="0" applyNumberFormat="1" applyFont="1" applyFill="1" applyBorder="1" applyAlignment="1">
      <alignment horizontal="center" vertical="center"/>
    </xf>
    <xf numFmtId="4" fontId="22" fillId="28" borderId="15" xfId="0" applyNumberFormat="1" applyFont="1" applyFill="1" applyBorder="1" applyAlignment="1">
      <alignment horizontal="center" vertical="center"/>
    </xf>
    <xf numFmtId="4" fontId="35" fillId="28" borderId="16" xfId="0" applyNumberFormat="1" applyFont="1" applyFill="1" applyBorder="1" applyAlignment="1">
      <alignment horizontal="center" vertical="center"/>
    </xf>
    <xf numFmtId="4" fontId="22" fillId="6" borderId="58" xfId="0" applyNumberFormat="1" applyFont="1" applyFill="1" applyBorder="1" applyAlignment="1">
      <alignment horizontal="center" vertical="center"/>
    </xf>
    <xf numFmtId="4" fontId="22" fillId="6" borderId="59" xfId="0" applyNumberFormat="1" applyFont="1" applyFill="1" applyBorder="1" applyAlignment="1">
      <alignment horizontal="center" vertical="center"/>
    </xf>
    <xf numFmtId="4" fontId="22" fillId="6" borderId="60" xfId="0" applyNumberFormat="1" applyFont="1" applyFill="1" applyBorder="1" applyAlignment="1">
      <alignment horizontal="center" vertical="center"/>
    </xf>
    <xf numFmtId="4" fontId="22" fillId="0" borderId="57" xfId="0" applyNumberFormat="1" applyFont="1" applyBorder="1" applyAlignment="1">
      <alignment horizontal="center" vertical="center"/>
    </xf>
    <xf numFmtId="4" fontId="28" fillId="0" borderId="59" xfId="0" applyNumberFormat="1" applyFont="1" applyBorder="1" applyAlignment="1">
      <alignment horizontal="center" vertical="center"/>
    </xf>
    <xf numFmtId="4" fontId="28" fillId="0" borderId="6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6" fillId="0" borderId="58" xfId="0" applyNumberFormat="1" applyFont="1" applyBorder="1" applyAlignment="1">
      <alignment horizontal="center" vertical="center"/>
    </xf>
    <xf numFmtId="4" fontId="26" fillId="0" borderId="59" xfId="0" applyNumberFormat="1" applyFont="1" applyBorder="1" applyAlignment="1">
      <alignment horizontal="center" vertical="center"/>
    </xf>
    <xf numFmtId="4" fontId="26" fillId="0" borderId="60" xfId="0" applyNumberFormat="1" applyFont="1" applyBorder="1" applyAlignment="1">
      <alignment horizontal="center" vertical="center"/>
    </xf>
    <xf numFmtId="4" fontId="19" fillId="24" borderId="58" xfId="0" applyNumberFormat="1" applyFont="1" applyFill="1" applyBorder="1" applyAlignment="1">
      <alignment horizontal="center" vertical="center"/>
    </xf>
    <xf numFmtId="4" fontId="19" fillId="24" borderId="59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48" xfId="0" applyBorder="1" applyAlignment="1">
      <alignment/>
    </xf>
    <xf numFmtId="4" fontId="22" fillId="29" borderId="3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9" fontId="22" fillId="28" borderId="66" xfId="0" applyNumberFormat="1" applyFont="1" applyFill="1" applyBorder="1" applyAlignment="1">
      <alignment horizontal="center" vertical="center" wrapText="1"/>
    </xf>
    <xf numFmtId="4" fontId="35" fillId="23" borderId="25" xfId="0" applyNumberFormat="1" applyFont="1" applyFill="1" applyBorder="1" applyAlignment="1">
      <alignment horizontal="center" vertical="center"/>
    </xf>
    <xf numFmtId="49" fontId="35" fillId="23" borderId="16" xfId="0" applyNumberFormat="1" applyFont="1" applyFill="1" applyBorder="1" applyAlignment="1">
      <alignment horizontal="center" vertical="center"/>
    </xf>
    <xf numFmtId="4" fontId="35" fillId="25" borderId="66" xfId="0" applyNumberFormat="1" applyFont="1" applyFill="1" applyBorder="1" applyAlignment="1">
      <alignment horizontal="center"/>
    </xf>
    <xf numFmtId="49" fontId="22" fillId="28" borderId="0" xfId="0" applyNumberFormat="1" applyFont="1" applyFill="1" applyBorder="1" applyAlignment="1">
      <alignment horizontal="center" vertical="center" wrapText="1"/>
    </xf>
    <xf numFmtId="49" fontId="22" fillId="23" borderId="67" xfId="0" applyNumberFormat="1" applyFont="1" applyFill="1" applyBorder="1" applyAlignment="1">
      <alignment horizontal="center" vertical="center"/>
    </xf>
    <xf numFmtId="49" fontId="22" fillId="23" borderId="68" xfId="0" applyNumberFormat="1" applyFont="1" applyFill="1" applyBorder="1" applyAlignment="1">
      <alignment horizontal="center" vertical="center"/>
    </xf>
    <xf numFmtId="49" fontId="35" fillId="23" borderId="69" xfId="0" applyNumberFormat="1" applyFont="1" applyFill="1" applyBorder="1" applyAlignment="1">
      <alignment horizontal="center" vertical="center"/>
    </xf>
    <xf numFmtId="49" fontId="22" fillId="28" borderId="70" xfId="0" applyNumberFormat="1" applyFont="1" applyFill="1" applyBorder="1" applyAlignment="1">
      <alignment horizontal="center" vertical="center" wrapText="1"/>
    </xf>
    <xf numFmtId="49" fontId="22" fillId="28" borderId="65" xfId="0" applyNumberFormat="1" applyFont="1" applyFill="1" applyBorder="1" applyAlignment="1">
      <alignment horizontal="center" vertical="center" wrapText="1"/>
    </xf>
    <xf numFmtId="49" fontId="22" fillId="28" borderId="48" xfId="0" applyNumberFormat="1" applyFont="1" applyFill="1" applyBorder="1" applyAlignment="1">
      <alignment horizontal="center" vertical="center" wrapText="1"/>
    </xf>
    <xf numFmtId="4" fontId="35" fillId="23" borderId="15" xfId="0" applyNumberFormat="1" applyFont="1" applyFill="1" applyBorder="1" applyAlignment="1">
      <alignment horizontal="center" vertical="center"/>
    </xf>
    <xf numFmtId="4" fontId="22" fillId="6" borderId="25" xfId="0" applyNumberFormat="1" applyFont="1" applyFill="1" applyBorder="1" applyAlignment="1">
      <alignment horizontal="center" vertical="center"/>
    </xf>
    <xf numFmtId="4" fontId="22" fillId="28" borderId="71" xfId="0" applyNumberFormat="1" applyFont="1" applyFill="1" applyBorder="1" applyAlignment="1">
      <alignment horizontal="center"/>
    </xf>
    <xf numFmtId="4" fontId="35" fillId="23" borderId="24" xfId="0" applyNumberFormat="1" applyFont="1" applyFill="1" applyBorder="1" applyAlignment="1">
      <alignment horizontal="center" vertical="center"/>
    </xf>
    <xf numFmtId="4" fontId="35" fillId="23" borderId="26" xfId="0" applyNumberFormat="1" applyFont="1" applyFill="1" applyBorder="1" applyAlignment="1">
      <alignment horizontal="center" vertical="center"/>
    </xf>
    <xf numFmtId="4" fontId="22" fillId="28" borderId="48" xfId="0" applyNumberFormat="1" applyFont="1" applyFill="1" applyBorder="1" applyAlignment="1">
      <alignment horizontal="center"/>
    </xf>
    <xf numFmtId="4" fontId="35" fillId="25" borderId="72" xfId="0" applyNumberFormat="1" applyFont="1" applyFill="1" applyBorder="1" applyAlignment="1">
      <alignment horizontal="center"/>
    </xf>
    <xf numFmtId="4" fontId="35" fillId="25" borderId="73" xfId="0" applyNumberFormat="1" applyFont="1" applyFill="1" applyBorder="1" applyAlignment="1">
      <alignment horizontal="center"/>
    </xf>
    <xf numFmtId="4" fontId="36" fillId="23" borderId="33" xfId="0" applyNumberFormat="1" applyFont="1" applyFill="1" applyBorder="1" applyAlignment="1">
      <alignment horizontal="center" vertical="center"/>
    </xf>
    <xf numFmtId="4" fontId="26" fillId="28" borderId="49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center"/>
    </xf>
    <xf numFmtId="4" fontId="36" fillId="23" borderId="24" xfId="0" applyNumberFormat="1" applyFont="1" applyFill="1" applyBorder="1" applyAlignment="1">
      <alignment horizontal="center" vertical="center"/>
    </xf>
    <xf numFmtId="4" fontId="25" fillId="28" borderId="74" xfId="0" applyNumberFormat="1" applyFont="1" applyFill="1" applyBorder="1" applyAlignment="1">
      <alignment horizontal="center" vertical="center"/>
    </xf>
    <xf numFmtId="4" fontId="25" fillId="28" borderId="75" xfId="0" applyNumberFormat="1" applyFont="1" applyFill="1" applyBorder="1" applyAlignment="1">
      <alignment horizontal="center" vertical="center"/>
    </xf>
    <xf numFmtId="4" fontId="25" fillId="28" borderId="44" xfId="0" applyNumberFormat="1" applyFont="1" applyFill="1" applyBorder="1" applyAlignment="1">
      <alignment horizontal="center" vertical="center"/>
    </xf>
    <xf numFmtId="4" fontId="22" fillId="28" borderId="67" xfId="0" applyNumberFormat="1" applyFont="1" applyFill="1" applyBorder="1" applyAlignment="1">
      <alignment horizontal="center" vertical="center"/>
    </xf>
    <xf numFmtId="4" fontId="22" fillId="28" borderId="68" xfId="0" applyNumberFormat="1" applyFont="1" applyFill="1" applyBorder="1" applyAlignment="1">
      <alignment horizontal="center" vertical="center"/>
    </xf>
    <xf numFmtId="4" fontId="35" fillId="28" borderId="69" xfId="0" applyNumberFormat="1" applyFont="1" applyFill="1" applyBorder="1" applyAlignment="1">
      <alignment horizontal="center" vertical="center"/>
    </xf>
    <xf numFmtId="4" fontId="35" fillId="23" borderId="29" xfId="0" applyNumberFormat="1" applyFont="1" applyFill="1" applyBorder="1" applyAlignment="1">
      <alignment horizontal="center" vertical="center"/>
    </xf>
    <xf numFmtId="4" fontId="22" fillId="28" borderId="76" xfId="0" applyNumberFormat="1" applyFont="1" applyFill="1" applyBorder="1" applyAlignment="1">
      <alignment horizontal="center"/>
    </xf>
    <xf numFmtId="4" fontId="22" fillId="28" borderId="77" xfId="0" applyNumberFormat="1" applyFont="1" applyFill="1" applyBorder="1" applyAlignment="1">
      <alignment horizontal="center"/>
    </xf>
    <xf numFmtId="4" fontId="35" fillId="23" borderId="14" xfId="0" applyNumberFormat="1" applyFont="1" applyFill="1" applyBorder="1" applyAlignment="1">
      <alignment horizontal="center" vertical="center"/>
    </xf>
    <xf numFmtId="4" fontId="35" fillId="23" borderId="27" xfId="0" applyNumberFormat="1" applyFont="1" applyFill="1" applyBorder="1" applyAlignment="1">
      <alignment horizontal="center" vertical="center"/>
    </xf>
    <xf numFmtId="4" fontId="35" fillId="23" borderId="28" xfId="0" applyNumberFormat="1" applyFont="1" applyFill="1" applyBorder="1" applyAlignment="1">
      <alignment horizontal="center" vertical="center"/>
    </xf>
    <xf numFmtId="4" fontId="22" fillId="28" borderId="78" xfId="0" applyNumberFormat="1" applyFont="1" applyFill="1" applyBorder="1" applyAlignment="1">
      <alignment horizontal="center"/>
    </xf>
    <xf numFmtId="4" fontId="22" fillId="28" borderId="79" xfId="0" applyNumberFormat="1" applyFont="1" applyFill="1" applyBorder="1" applyAlignment="1">
      <alignment horizontal="center"/>
    </xf>
    <xf numFmtId="4" fontId="22" fillId="28" borderId="80" xfId="0" applyNumberFormat="1" applyFont="1" applyFill="1" applyBorder="1" applyAlignment="1">
      <alignment horizontal="center"/>
    </xf>
    <xf numFmtId="4" fontId="35" fillId="23" borderId="81" xfId="0" applyNumberFormat="1" applyFont="1" applyFill="1" applyBorder="1" applyAlignment="1">
      <alignment horizontal="center" vertical="center"/>
    </xf>
    <xf numFmtId="4" fontId="22" fillId="23" borderId="46" xfId="0" applyNumberFormat="1" applyFont="1" applyFill="1" applyBorder="1" applyAlignment="1">
      <alignment horizontal="center" vertical="center"/>
    </xf>
    <xf numFmtId="4" fontId="36" fillId="23" borderId="47" xfId="0" applyNumberFormat="1" applyFont="1" applyFill="1" applyBorder="1" applyAlignment="1">
      <alignment horizontal="center" vertical="center"/>
    </xf>
    <xf numFmtId="4" fontId="22" fillId="23" borderId="27" xfId="0" applyNumberFormat="1" applyFont="1" applyFill="1" applyBorder="1" applyAlignment="1">
      <alignment horizontal="center" vertical="center"/>
    </xf>
    <xf numFmtId="4" fontId="36" fillId="23" borderId="28" xfId="0" applyNumberFormat="1" applyFont="1" applyFill="1" applyBorder="1" applyAlignment="1">
      <alignment horizontal="center" vertical="center"/>
    </xf>
    <xf numFmtId="4" fontId="35" fillId="28" borderId="29" xfId="0" applyNumberFormat="1" applyFont="1" applyFill="1" applyBorder="1" applyAlignment="1">
      <alignment horizontal="center" vertical="center"/>
    </xf>
    <xf numFmtId="4" fontId="36" fillId="23" borderId="78" xfId="0" applyNumberFormat="1" applyFont="1" applyFill="1" applyBorder="1" applyAlignment="1">
      <alignment horizontal="center" vertical="center"/>
    </xf>
    <xf numFmtId="4" fontId="36" fillId="23" borderId="79" xfId="0" applyNumberFormat="1" applyFont="1" applyFill="1" applyBorder="1" applyAlignment="1">
      <alignment horizontal="center" vertical="center"/>
    </xf>
    <xf numFmtId="4" fontId="36" fillId="23" borderId="80" xfId="0" applyNumberFormat="1" applyFont="1" applyFill="1" applyBorder="1" applyAlignment="1">
      <alignment horizontal="center" vertical="center"/>
    </xf>
    <xf numFmtId="4" fontId="22" fillId="28" borderId="82" xfId="0" applyNumberFormat="1" applyFont="1" applyFill="1" applyBorder="1" applyAlignment="1">
      <alignment horizontal="center"/>
    </xf>
    <xf numFmtId="4" fontId="22" fillId="28" borderId="83" xfId="0" applyNumberFormat="1" applyFont="1" applyFill="1" applyBorder="1" applyAlignment="1">
      <alignment horizontal="center"/>
    </xf>
    <xf numFmtId="4" fontId="22" fillId="28" borderId="84" xfId="0" applyNumberFormat="1" applyFont="1" applyFill="1" applyBorder="1" applyAlignment="1">
      <alignment horizontal="center"/>
    </xf>
    <xf numFmtId="4" fontId="22" fillId="28" borderId="85" xfId="0" applyNumberFormat="1" applyFont="1" applyFill="1" applyBorder="1" applyAlignment="1">
      <alignment horizontal="center"/>
    </xf>
    <xf numFmtId="4" fontId="22" fillId="28" borderId="52" xfId="0" applyNumberFormat="1" applyFont="1" applyFill="1" applyBorder="1" applyAlignment="1">
      <alignment horizontal="center"/>
    </xf>
    <xf numFmtId="4" fontId="35" fillId="23" borderId="86" xfId="0" applyNumberFormat="1" applyFont="1" applyFill="1" applyBorder="1" applyAlignment="1">
      <alignment horizontal="center" vertical="center"/>
    </xf>
    <xf numFmtId="4" fontId="35" fillId="23" borderId="87" xfId="0" applyNumberFormat="1" applyFont="1" applyFill="1" applyBorder="1" applyAlignment="1">
      <alignment horizontal="center" vertical="center"/>
    </xf>
    <xf numFmtId="4" fontId="35" fillId="23" borderId="88" xfId="0" applyNumberFormat="1" applyFont="1" applyFill="1" applyBorder="1" applyAlignment="1">
      <alignment horizontal="center" vertical="center"/>
    </xf>
    <xf numFmtId="4" fontId="22" fillId="28" borderId="31" xfId="0" applyNumberFormat="1" applyFont="1" applyFill="1" applyBorder="1" applyAlignment="1">
      <alignment horizontal="center" vertical="center"/>
    </xf>
    <xf numFmtId="4" fontId="22" fillId="28" borderId="32" xfId="0" applyNumberFormat="1" applyFont="1" applyFill="1" applyBorder="1" applyAlignment="1">
      <alignment horizontal="center" vertical="center"/>
    </xf>
    <xf numFmtId="4" fontId="22" fillId="29" borderId="13" xfId="0" applyNumberFormat="1" applyFont="1" applyFill="1" applyBorder="1" applyAlignment="1">
      <alignment horizontal="center" vertical="center"/>
    </xf>
    <xf numFmtId="4" fontId="22" fillId="28" borderId="89" xfId="0" applyNumberFormat="1" applyFont="1" applyFill="1" applyBorder="1" applyAlignment="1">
      <alignment horizontal="center"/>
    </xf>
    <xf numFmtId="4" fontId="22" fillId="29" borderId="14" xfId="0" applyNumberFormat="1" applyFont="1" applyFill="1" applyBorder="1" applyAlignment="1">
      <alignment horizontal="center" vertical="center"/>
    </xf>
    <xf numFmtId="4" fontId="22" fillId="29" borderId="15" xfId="0" applyNumberFormat="1" applyFont="1" applyFill="1" applyBorder="1" applyAlignment="1">
      <alignment horizontal="center" vertical="center"/>
    </xf>
    <xf numFmtId="4" fontId="35" fillId="29" borderId="29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center" vertical="center" wrapText="1"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3" borderId="91" xfId="0" applyNumberFormat="1" applyFont="1" applyFill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left" vertical="center" wrapText="1"/>
    </xf>
    <xf numFmtId="49" fontId="22" fillId="23" borderId="19" xfId="0" applyNumberFormat="1" applyFont="1" applyFill="1" applyBorder="1" applyAlignment="1">
      <alignment horizontal="left" vertical="center" wrapText="1"/>
    </xf>
    <xf numFmtId="49" fontId="22" fillId="23" borderId="91" xfId="0" applyNumberFormat="1" applyFont="1" applyFill="1" applyBorder="1" applyAlignment="1">
      <alignment horizontal="left" vertical="center" wrapText="1"/>
    </xf>
    <xf numFmtId="4" fontId="25" fillId="23" borderId="18" xfId="0" applyNumberFormat="1" applyFont="1" applyFill="1" applyBorder="1" applyAlignment="1">
      <alignment horizontal="center" vertical="center"/>
    </xf>
    <xf numFmtId="4" fontId="25" fillId="23" borderId="19" xfId="0" applyNumberFormat="1" applyFont="1" applyFill="1" applyBorder="1" applyAlignment="1">
      <alignment horizontal="center" vertical="center"/>
    </xf>
    <xf numFmtId="4" fontId="25" fillId="23" borderId="91" xfId="0" applyNumberFormat="1" applyFont="1" applyFill="1" applyBorder="1" applyAlignment="1">
      <alignment horizontal="center" vertical="center"/>
    </xf>
    <xf numFmtId="49" fontId="27" fillId="0" borderId="92" xfId="0" applyNumberFormat="1" applyFont="1" applyBorder="1" applyAlignment="1">
      <alignment horizontal="center" vertical="center"/>
    </xf>
    <xf numFmtId="49" fontId="27" fillId="0" borderId="93" xfId="0" applyNumberFormat="1" applyFont="1" applyBorder="1" applyAlignment="1">
      <alignment horizontal="center" vertical="center"/>
    </xf>
    <xf numFmtId="49" fontId="27" fillId="0" borderId="94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left" vertical="center"/>
    </xf>
    <xf numFmtId="49" fontId="28" fillId="0" borderId="91" xfId="0" applyNumberFormat="1" applyFont="1" applyBorder="1" applyAlignment="1">
      <alignment horizontal="left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91" xfId="0" applyNumberFormat="1" applyFont="1" applyFill="1" applyBorder="1" applyAlignment="1">
      <alignment horizontal="center" vertical="center"/>
    </xf>
    <xf numFmtId="4" fontId="28" fillId="0" borderId="61" xfId="0" applyNumberFormat="1" applyFont="1" applyBorder="1" applyAlignment="1">
      <alignment horizontal="center" vertical="center" wrapText="1"/>
    </xf>
    <xf numFmtId="4" fontId="28" fillId="0" borderId="56" xfId="0" applyNumberFormat="1" applyFont="1" applyBorder="1" applyAlignment="1">
      <alignment horizontal="center" vertical="center" wrapText="1"/>
    </xf>
    <xf numFmtId="4" fontId="28" fillId="0" borderId="60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left" vertical="center" wrapText="1"/>
    </xf>
    <xf numFmtId="49" fontId="28" fillId="0" borderId="91" xfId="0" applyNumberFormat="1" applyFont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9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91" xfId="0" applyNumberFormat="1" applyFont="1" applyFill="1" applyBorder="1" applyAlignment="1">
      <alignment horizontal="left" vertical="center" wrapText="1"/>
    </xf>
    <xf numFmtId="4" fontId="22" fillId="0" borderId="61" xfId="0" applyNumberFormat="1" applyFont="1" applyFill="1" applyBorder="1" applyAlignment="1">
      <alignment horizontal="center" vertical="center" wrapText="1"/>
    </xf>
    <xf numFmtId="4" fontId="22" fillId="0" borderId="56" xfId="0" applyNumberFormat="1" applyFont="1" applyFill="1" applyBorder="1" applyAlignment="1">
      <alignment horizontal="center" vertical="center" wrapText="1"/>
    </xf>
    <xf numFmtId="4" fontId="22" fillId="0" borderId="60" xfId="0" applyNumberFormat="1" applyFont="1" applyFill="1" applyBorder="1" applyAlignment="1">
      <alignment horizontal="center" vertical="center" wrapText="1"/>
    </xf>
    <xf numFmtId="49" fontId="22" fillId="23" borderId="95" xfId="0" applyNumberFormat="1" applyFont="1" applyFill="1" applyBorder="1" applyAlignment="1">
      <alignment horizontal="left" vertical="center" wrapText="1"/>
    </xf>
    <xf numFmtId="49" fontId="22" fillId="23" borderId="96" xfId="0" applyNumberFormat="1" applyFont="1" applyFill="1" applyBorder="1" applyAlignment="1">
      <alignment horizontal="left" vertical="center" wrapText="1"/>
    </xf>
    <xf numFmtId="49" fontId="22" fillId="23" borderId="97" xfId="0" applyNumberFormat="1" applyFont="1" applyFill="1" applyBorder="1" applyAlignment="1">
      <alignment horizontal="left" vertical="center" wrapText="1"/>
    </xf>
    <xf numFmtId="4" fontId="25" fillId="23" borderId="98" xfId="0" applyNumberFormat="1" applyFont="1" applyFill="1" applyBorder="1" applyAlignment="1">
      <alignment horizontal="center" vertical="center"/>
    </xf>
    <xf numFmtId="4" fontId="25" fillId="23" borderId="99" xfId="0" applyNumberFormat="1" applyFont="1" applyFill="1" applyBorder="1" applyAlignment="1">
      <alignment horizontal="center" vertical="center"/>
    </xf>
    <xf numFmtId="4" fontId="25" fillId="23" borderId="100" xfId="0" applyNumberFormat="1" applyFont="1" applyFill="1" applyBorder="1" applyAlignment="1">
      <alignment horizontal="center" vertical="center"/>
    </xf>
    <xf numFmtId="4" fontId="25" fillId="23" borderId="72" xfId="0" applyNumberFormat="1" applyFont="1" applyFill="1" applyBorder="1" applyAlignment="1">
      <alignment horizontal="center" vertical="center"/>
    </xf>
    <xf numFmtId="4" fontId="25" fillId="23" borderId="73" xfId="0" applyNumberFormat="1" applyFont="1" applyFill="1" applyBorder="1" applyAlignment="1">
      <alignment horizontal="center" vertical="center"/>
    </xf>
    <xf numFmtId="49" fontId="22" fillId="29" borderId="18" xfId="0" applyNumberFormat="1" applyFont="1" applyFill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91" xfId="0" applyNumberFormat="1" applyFont="1" applyFill="1" applyBorder="1" applyAlignment="1">
      <alignment horizontal="center" vertical="center" wrapText="1"/>
    </xf>
    <xf numFmtId="49" fontId="22" fillId="29" borderId="18" xfId="0" applyNumberFormat="1" applyFont="1" applyFill="1" applyBorder="1" applyAlignment="1">
      <alignment horizontal="left" vertical="center" wrapText="1"/>
    </xf>
    <xf numFmtId="49" fontId="22" fillId="29" borderId="19" xfId="0" applyNumberFormat="1" applyFont="1" applyFill="1" applyBorder="1" applyAlignment="1">
      <alignment horizontal="left" vertical="center" wrapText="1"/>
    </xf>
    <xf numFmtId="49" fontId="22" fillId="29" borderId="91" xfId="0" applyNumberFormat="1" applyFont="1" applyFill="1" applyBorder="1" applyAlignment="1">
      <alignment horizontal="left" vertical="center" wrapText="1"/>
    </xf>
    <xf numFmtId="4" fontId="25" fillId="29" borderId="18" xfId="0" applyNumberFormat="1" applyFont="1" applyFill="1" applyBorder="1" applyAlignment="1">
      <alignment horizontal="center" vertical="center"/>
    </xf>
    <xf numFmtId="4" fontId="25" fillId="29" borderId="19" xfId="0" applyNumberFormat="1" applyFont="1" applyFill="1" applyBorder="1" applyAlignment="1">
      <alignment horizontal="center" vertical="center"/>
    </xf>
    <xf numFmtId="4" fontId="25" fillId="29" borderId="91" xfId="0" applyNumberFormat="1" applyFont="1" applyFill="1" applyBorder="1" applyAlignment="1">
      <alignment horizontal="center" vertical="center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49" fontId="22" fillId="28" borderId="91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left" vertical="center" wrapText="1"/>
    </xf>
    <xf numFmtId="49" fontId="22" fillId="28" borderId="19" xfId="0" applyNumberFormat="1" applyFont="1" applyFill="1" applyBorder="1" applyAlignment="1">
      <alignment horizontal="left" vertical="center" wrapText="1"/>
    </xf>
    <xf numFmtId="49" fontId="22" fillId="28" borderId="91" xfId="0" applyNumberFormat="1" applyFont="1" applyFill="1" applyBorder="1" applyAlignment="1">
      <alignment horizontal="left" vertical="center" wrapText="1"/>
    </xf>
    <xf numFmtId="4" fontId="25" fillId="28" borderId="18" xfId="0" applyNumberFormat="1" applyFont="1" applyFill="1" applyBorder="1" applyAlignment="1">
      <alignment horizontal="center" vertical="center"/>
    </xf>
    <xf numFmtId="4" fontId="25" fillId="28" borderId="19" xfId="0" applyNumberFormat="1" applyFont="1" applyFill="1" applyBorder="1" applyAlignment="1">
      <alignment horizontal="center" vertical="center"/>
    </xf>
    <xf numFmtId="4" fontId="25" fillId="28" borderId="91" xfId="0" applyNumberFormat="1" applyFont="1" applyFill="1" applyBorder="1" applyAlignment="1">
      <alignment horizontal="center" vertical="center"/>
    </xf>
    <xf numFmtId="4" fontId="25" fillId="28" borderId="98" xfId="0" applyNumberFormat="1" applyFont="1" applyFill="1" applyBorder="1" applyAlignment="1">
      <alignment horizontal="center" vertical="center"/>
    </xf>
    <xf numFmtId="4" fontId="25" fillId="28" borderId="99" xfId="0" applyNumberFormat="1" applyFont="1" applyFill="1" applyBorder="1" applyAlignment="1">
      <alignment horizontal="center" vertical="center"/>
    </xf>
    <xf numFmtId="4" fontId="25" fillId="28" borderId="100" xfId="0" applyNumberFormat="1" applyFont="1" applyFill="1" applyBorder="1" applyAlignment="1">
      <alignment horizontal="center" vertical="center"/>
    </xf>
    <xf numFmtId="49" fontId="21" fillId="6" borderId="92" xfId="0" applyNumberFormat="1" applyFont="1" applyFill="1" applyBorder="1" applyAlignment="1">
      <alignment horizontal="center" vertical="center"/>
    </xf>
    <xf numFmtId="49" fontId="21" fillId="6" borderId="93" xfId="0" applyNumberFormat="1" applyFont="1" applyFill="1" applyBorder="1" applyAlignment="1">
      <alignment horizontal="center" vertical="center"/>
    </xf>
    <xf numFmtId="49" fontId="21" fillId="6" borderId="94" xfId="0" applyNumberFormat="1" applyFont="1" applyFill="1" applyBorder="1" applyAlignment="1">
      <alignment horizontal="center" vertical="center"/>
    </xf>
    <xf numFmtId="49" fontId="22" fillId="6" borderId="18" xfId="0" applyNumberFormat="1" applyFont="1" applyFill="1" applyBorder="1" applyAlignment="1">
      <alignment horizontal="center" vertical="center" wrapText="1"/>
    </xf>
    <xf numFmtId="49" fontId="22" fillId="6" borderId="19" xfId="0" applyNumberFormat="1" applyFont="1" applyFill="1" applyBorder="1" applyAlignment="1">
      <alignment horizontal="center" vertical="center" wrapText="1"/>
    </xf>
    <xf numFmtId="49" fontId="22" fillId="6" borderId="91" xfId="0" applyNumberFormat="1" applyFont="1" applyFill="1" applyBorder="1" applyAlignment="1">
      <alignment horizontal="center" vertical="center" wrapText="1"/>
    </xf>
    <xf numFmtId="4" fontId="29" fillId="6" borderId="19" xfId="0" applyNumberFormat="1" applyFont="1" applyFill="1" applyBorder="1" applyAlignment="1">
      <alignment horizontal="center" vertical="center"/>
    </xf>
    <xf numFmtId="4" fontId="29" fillId="6" borderId="91" xfId="0" applyNumberFormat="1" applyFont="1" applyFill="1" applyBorder="1" applyAlignment="1">
      <alignment horizontal="center" vertical="center"/>
    </xf>
    <xf numFmtId="49" fontId="22" fillId="28" borderId="74" xfId="0" applyNumberFormat="1" applyFont="1" applyFill="1" applyBorder="1" applyAlignment="1">
      <alignment horizontal="left" vertical="center" wrapText="1"/>
    </xf>
    <xf numFmtId="49" fontId="22" fillId="28" borderId="75" xfId="0" applyNumberFormat="1" applyFont="1" applyFill="1" applyBorder="1" applyAlignment="1">
      <alignment horizontal="left" vertical="center" wrapText="1"/>
    </xf>
    <xf numFmtId="49" fontId="22" fillId="28" borderId="44" xfId="0" applyNumberFormat="1" applyFont="1" applyFill="1" applyBorder="1" applyAlignment="1">
      <alignment horizontal="left" vertical="center" wrapText="1"/>
    </xf>
    <xf numFmtId="49" fontId="19" fillId="0" borderId="101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4" fontId="31" fillId="0" borderId="91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4" fontId="31" fillId="0" borderId="91" xfId="0" applyNumberFormat="1" applyFont="1" applyBorder="1" applyAlignment="1">
      <alignment horizontal="center" vertical="center" wrapText="1"/>
    </xf>
    <xf numFmtId="4" fontId="29" fillId="6" borderId="18" xfId="0" applyNumberFormat="1" applyFont="1" applyFill="1" applyBorder="1" applyAlignment="1">
      <alignment horizontal="center" vertical="center"/>
    </xf>
    <xf numFmtId="49" fontId="21" fillId="0" borderId="92" xfId="0" applyNumberFormat="1" applyFont="1" applyBorder="1" applyAlignment="1">
      <alignment horizontal="center" vertical="center"/>
    </xf>
    <xf numFmtId="49" fontId="21" fillId="0" borderId="93" xfId="0" applyNumberFormat="1" applyFont="1" applyBorder="1" applyAlignment="1">
      <alignment horizontal="center" vertical="center"/>
    </xf>
    <xf numFmtId="49" fontId="21" fillId="0" borderId="102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5" xfId="0" applyNumberFormat="1" applyFont="1" applyBorder="1" applyAlignment="1">
      <alignment horizontal="left" vertical="center" wrapText="1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103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" fontId="29" fillId="23" borderId="18" xfId="0" applyNumberFormat="1" applyFont="1" applyFill="1" applyBorder="1" applyAlignment="1">
      <alignment horizontal="center" vertical="center"/>
    </xf>
    <xf numFmtId="4" fontId="29" fillId="23" borderId="19" xfId="0" applyNumberFormat="1" applyFont="1" applyFill="1" applyBorder="1" applyAlignment="1">
      <alignment horizontal="center" vertical="center"/>
    </xf>
    <xf numFmtId="4" fontId="29" fillId="23" borderId="91" xfId="0" applyNumberFormat="1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91" xfId="0" applyNumberFormat="1" applyFont="1" applyBorder="1" applyAlignment="1">
      <alignment horizontal="left" vertical="center" wrapText="1"/>
    </xf>
    <xf numFmtId="2" fontId="30" fillId="0" borderId="18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/>
    </xf>
    <xf numFmtId="2" fontId="30" fillId="0" borderId="91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91" xfId="0" applyNumberFormat="1" applyFont="1" applyFill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91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91" xfId="0" applyNumberFormat="1" applyFont="1" applyBorder="1" applyAlignment="1">
      <alignment horizontal="center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30" fillId="0" borderId="19" xfId="0" applyNumberFormat="1" applyFont="1" applyBorder="1" applyAlignment="1">
      <alignment horizontal="center" vertical="center"/>
    </xf>
    <xf numFmtId="4" fontId="30" fillId="0" borderId="91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left" vertical="center" wrapText="1"/>
    </xf>
    <xf numFmtId="4" fontId="26" fillId="0" borderId="19" xfId="0" applyNumberFormat="1" applyFont="1" applyBorder="1" applyAlignment="1">
      <alignment horizontal="left" vertical="center" wrapText="1"/>
    </xf>
    <xf numFmtId="4" fontId="26" fillId="0" borderId="91" xfId="0" applyNumberFormat="1" applyFont="1" applyBorder="1" applyAlignment="1">
      <alignment horizontal="left" vertical="center" wrapText="1"/>
    </xf>
    <xf numFmtId="4" fontId="30" fillId="0" borderId="25" xfId="0" applyNumberFormat="1" applyFont="1" applyBorder="1" applyAlignment="1">
      <alignment horizontal="center" vertical="center"/>
    </xf>
    <xf numFmtId="4" fontId="26" fillId="6" borderId="18" xfId="0" applyNumberFormat="1" applyFont="1" applyFill="1" applyBorder="1" applyAlignment="1">
      <alignment horizontal="left" vertical="center" wrapText="1"/>
    </xf>
    <xf numFmtId="4" fontId="26" fillId="6" borderId="19" xfId="0" applyNumberFormat="1" applyFont="1" applyFill="1" applyBorder="1" applyAlignment="1">
      <alignment horizontal="left" vertical="center" wrapText="1"/>
    </xf>
    <xf numFmtId="4" fontId="26" fillId="6" borderId="91" xfId="0" applyNumberFormat="1" applyFont="1" applyFill="1" applyBorder="1" applyAlignment="1">
      <alignment horizontal="left" vertical="center" wrapText="1"/>
    </xf>
    <xf numFmtId="4" fontId="22" fillId="6" borderId="18" xfId="0" applyNumberFormat="1" applyFont="1" applyFill="1" applyBorder="1" applyAlignment="1">
      <alignment horizontal="left" vertical="center" wrapText="1"/>
    </xf>
    <xf numFmtId="4" fontId="22" fillId="6" borderId="19" xfId="0" applyNumberFormat="1" applyFont="1" applyFill="1" applyBorder="1" applyAlignment="1">
      <alignment horizontal="left" vertical="center" wrapText="1"/>
    </xf>
    <xf numFmtId="4" fontId="22" fillId="6" borderId="91" xfId="0" applyNumberFormat="1" applyFont="1" applyFill="1" applyBorder="1" applyAlignment="1">
      <alignment horizontal="left" vertical="center" wrapText="1"/>
    </xf>
    <xf numFmtId="4" fontId="22" fillId="6" borderId="24" xfId="0" applyNumberFormat="1" applyFont="1" applyFill="1" applyBorder="1" applyAlignment="1">
      <alignment horizontal="center" vertical="center"/>
    </xf>
    <xf numFmtId="4" fontId="22" fillId="6" borderId="19" xfId="0" applyNumberFormat="1" applyFont="1" applyFill="1" applyBorder="1" applyAlignment="1">
      <alignment horizontal="center" vertical="center"/>
    </xf>
    <xf numFmtId="4" fontId="22" fillId="6" borderId="25" xfId="0" applyNumberFormat="1" applyFont="1" applyFill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left" vertical="center" wrapText="1"/>
    </xf>
    <xf numFmtId="4" fontId="26" fillId="24" borderId="19" xfId="0" applyNumberFormat="1" applyFont="1" applyFill="1" applyBorder="1" applyAlignment="1">
      <alignment horizontal="left" vertical="center" wrapText="1"/>
    </xf>
    <xf numFmtId="4" fontId="26" fillId="24" borderId="91" xfId="0" applyNumberFormat="1" applyFont="1" applyFill="1" applyBorder="1" applyAlignment="1">
      <alignment horizontal="left" vertical="center" wrapText="1"/>
    </xf>
    <xf numFmtId="4" fontId="22" fillId="24" borderId="18" xfId="0" applyNumberFormat="1" applyFont="1" applyFill="1" applyBorder="1" applyAlignment="1">
      <alignment horizontal="left" vertical="center" wrapText="1"/>
    </xf>
    <xf numFmtId="4" fontId="22" fillId="24" borderId="19" xfId="0" applyNumberFormat="1" applyFont="1" applyFill="1" applyBorder="1" applyAlignment="1">
      <alignment horizontal="left" vertical="center" wrapText="1"/>
    </xf>
    <xf numFmtId="4" fontId="22" fillId="24" borderId="91" xfId="0" applyNumberFormat="1" applyFont="1" applyFill="1" applyBorder="1" applyAlignment="1">
      <alignment horizontal="left" vertical="center" wrapText="1"/>
    </xf>
    <xf numFmtId="49" fontId="22" fillId="28" borderId="70" xfId="0" applyNumberFormat="1" applyFont="1" applyFill="1" applyBorder="1" applyAlignment="1">
      <alignment horizontal="center" vertical="center" wrapText="1"/>
    </xf>
    <xf numFmtId="49" fontId="22" fillId="28" borderId="65" xfId="0" applyNumberFormat="1" applyFont="1" applyFill="1" applyBorder="1" applyAlignment="1">
      <alignment horizontal="center" vertical="center" wrapText="1"/>
    </xf>
    <xf numFmtId="49" fontId="22" fillId="28" borderId="48" xfId="0" applyNumberFormat="1" applyFont="1" applyFill="1" applyBorder="1" applyAlignment="1">
      <alignment horizontal="center" vertical="center" wrapText="1"/>
    </xf>
    <xf numFmtId="49" fontId="22" fillId="28" borderId="65" xfId="0" applyNumberFormat="1" applyFont="1" applyFill="1" applyBorder="1" applyAlignment="1">
      <alignment horizontal="left" vertical="center" wrapText="1"/>
    </xf>
    <xf numFmtId="49" fontId="22" fillId="28" borderId="48" xfId="0" applyNumberFormat="1" applyFont="1" applyFill="1" applyBorder="1" applyAlignment="1">
      <alignment horizontal="left" vertical="center" wrapText="1"/>
    </xf>
    <xf numFmtId="49" fontId="22" fillId="28" borderId="104" xfId="0" applyNumberFormat="1" applyFont="1" applyFill="1" applyBorder="1" applyAlignment="1">
      <alignment horizontal="left" vertical="center" wrapText="1"/>
    </xf>
    <xf numFmtId="4" fontId="25" fillId="28" borderId="74" xfId="0" applyNumberFormat="1" applyFont="1" applyFill="1" applyBorder="1" applyAlignment="1">
      <alignment horizontal="center" vertical="center"/>
    </xf>
    <xf numFmtId="4" fontId="25" fillId="28" borderId="75" xfId="0" applyNumberFormat="1" applyFont="1" applyFill="1" applyBorder="1" applyAlignment="1">
      <alignment horizontal="center" vertical="center"/>
    </xf>
    <xf numFmtId="4" fontId="25" fillId="28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view="pageBreakPreview" zoomScale="60" zoomScaleNormal="86" zoomScalePageLayoutView="0" workbookViewId="0" topLeftCell="A194">
      <selection activeCell="B3" sqref="B3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0.00390625" style="0" customWidth="1"/>
    <col min="4" max="4" width="18.00390625" style="0" customWidth="1"/>
    <col min="5" max="5" width="13.57421875" style="0" hidden="1" customWidth="1"/>
    <col min="6" max="6" width="15.421875" style="0" customWidth="1"/>
    <col min="7" max="7" width="17.28125" style="0" customWidth="1"/>
    <col min="8" max="8" width="15.28125" style="0" customWidth="1"/>
    <col min="9" max="9" width="16.8515625" style="0" customWidth="1"/>
    <col min="10" max="10" width="17.7109375" style="0" customWidth="1"/>
    <col min="11" max="11" width="13.00390625" style="0" customWidth="1"/>
    <col min="12" max="12" width="12.7109375" style="0" customWidth="1"/>
    <col min="13" max="13" width="12.7109375" style="0" bestFit="1" customWidth="1"/>
  </cols>
  <sheetData>
    <row r="1" spans="10:12" ht="15">
      <c r="J1" s="14"/>
      <c r="K1" s="343"/>
      <c r="L1" s="343" t="s">
        <v>135</v>
      </c>
    </row>
    <row r="2" spans="3:12" ht="15">
      <c r="C2" s="134"/>
      <c r="G2" s="134"/>
      <c r="J2" s="14"/>
      <c r="K2" s="343"/>
      <c r="L2" s="343" t="s">
        <v>134</v>
      </c>
    </row>
    <row r="3" spans="9:12" ht="15">
      <c r="I3" s="134"/>
      <c r="J3" s="14"/>
      <c r="K3" s="343"/>
      <c r="L3" s="343" t="s">
        <v>155</v>
      </c>
    </row>
    <row r="4" spans="9:12" ht="15">
      <c r="I4" s="134"/>
      <c r="K4" s="4"/>
      <c r="L4" s="343"/>
    </row>
    <row r="5" spans="9:12" ht="12.75">
      <c r="I5" s="134"/>
      <c r="L5" s="15"/>
    </row>
    <row r="6" spans="1:12" ht="13.5" customHeigh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97"/>
    </row>
    <row r="7" spans="1:12" ht="15.75">
      <c r="A7" s="197"/>
      <c r="B7" s="344" t="s">
        <v>0</v>
      </c>
      <c r="C7" s="344"/>
      <c r="D7" s="344"/>
      <c r="E7" s="344"/>
      <c r="F7" s="344"/>
      <c r="G7" s="344"/>
      <c r="H7" s="344"/>
      <c r="I7" s="344"/>
      <c r="J7" s="197"/>
      <c r="K7" s="197"/>
      <c r="L7" s="16"/>
    </row>
    <row r="8" spans="1:12" ht="15.75" customHeight="1">
      <c r="A8" s="16"/>
      <c r="B8" s="345" t="s">
        <v>1</v>
      </c>
      <c r="C8" s="345"/>
      <c r="D8" s="345"/>
      <c r="E8" s="345"/>
      <c r="F8" s="345"/>
      <c r="G8" s="345"/>
      <c r="H8" s="345"/>
      <c r="I8" s="345"/>
      <c r="J8" s="16"/>
      <c r="K8" s="16"/>
      <c r="L8" s="16"/>
    </row>
    <row r="9" spans="1:12" ht="15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4"/>
    </row>
    <row r="10" spans="1:12" ht="12.7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227"/>
    </row>
    <row r="11" spans="1:12" s="5" customFormat="1" ht="18.75" customHeight="1">
      <c r="A11" s="346" t="s">
        <v>2</v>
      </c>
      <c r="B11" s="348" t="s">
        <v>3</v>
      </c>
      <c r="C11" s="348" t="s">
        <v>4</v>
      </c>
      <c r="D11" s="348" t="s">
        <v>121</v>
      </c>
      <c r="E11" s="350" t="s">
        <v>95</v>
      </c>
      <c r="F11" s="352" t="s">
        <v>5</v>
      </c>
      <c r="G11" s="353"/>
      <c r="H11" s="353"/>
      <c r="I11" s="353"/>
      <c r="J11" s="354"/>
      <c r="K11" s="355" t="s">
        <v>66</v>
      </c>
      <c r="L11" s="228" t="s">
        <v>6</v>
      </c>
    </row>
    <row r="12" spans="1:12" s="5" customFormat="1" ht="47.25" customHeight="1">
      <c r="A12" s="347"/>
      <c r="B12" s="349"/>
      <c r="C12" s="349"/>
      <c r="D12" s="349"/>
      <c r="E12" s="351"/>
      <c r="F12" s="6">
        <v>2011</v>
      </c>
      <c r="G12" s="6">
        <v>2012</v>
      </c>
      <c r="H12" s="6">
        <v>2013</v>
      </c>
      <c r="I12" s="6">
        <v>2014</v>
      </c>
      <c r="J12" s="6">
        <v>2015</v>
      </c>
      <c r="K12" s="356"/>
      <c r="L12" s="215"/>
    </row>
    <row r="13" spans="1:12" s="5" customFormat="1" ht="19.5" customHeight="1" thickBot="1">
      <c r="A13" s="214" t="s">
        <v>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31"/>
      <c r="L13" s="357" t="s">
        <v>9</v>
      </c>
    </row>
    <row r="14" spans="1:12" ht="13.5" customHeight="1">
      <c r="A14" s="360">
        <v>1</v>
      </c>
      <c r="B14" s="363" t="s">
        <v>48</v>
      </c>
      <c r="C14" s="77" t="s">
        <v>8</v>
      </c>
      <c r="D14" s="366">
        <f>D17+D20</f>
        <v>156474400</v>
      </c>
      <c r="E14" s="149">
        <f aca="true" t="shared" si="0" ref="E14:E67">SUM(F14:J14)</f>
        <v>0</v>
      </c>
      <c r="F14" s="18">
        <f>F17+F20</f>
        <v>0</v>
      </c>
      <c r="G14" s="18">
        <f>G17+G20</f>
        <v>0</v>
      </c>
      <c r="H14" s="18">
        <f>H17+H20</f>
        <v>0</v>
      </c>
      <c r="I14" s="18">
        <f>I17+I20</f>
        <v>0</v>
      </c>
      <c r="J14" s="20">
        <f>J17+J20</f>
        <v>0</v>
      </c>
      <c r="K14" s="232"/>
      <c r="L14" s="358"/>
    </row>
    <row r="15" spans="1:12" ht="13.5" customHeight="1">
      <c r="A15" s="361"/>
      <c r="B15" s="364"/>
      <c r="C15" s="79" t="s">
        <v>10</v>
      </c>
      <c r="D15" s="367"/>
      <c r="E15" s="150">
        <f t="shared" si="0"/>
        <v>0</v>
      </c>
      <c r="F15" s="22">
        <v>0</v>
      </c>
      <c r="G15" s="22">
        <f aca="true" t="shared" si="1" ref="G15:J16">G18+G21</f>
        <v>0</v>
      </c>
      <c r="H15" s="22">
        <f t="shared" si="1"/>
        <v>0</v>
      </c>
      <c r="I15" s="22">
        <f t="shared" si="1"/>
        <v>0</v>
      </c>
      <c r="J15" s="24">
        <f t="shared" si="1"/>
        <v>0</v>
      </c>
      <c r="K15" s="233"/>
      <c r="L15" s="358"/>
    </row>
    <row r="16" spans="1:12" ht="15" customHeight="1" thickBot="1">
      <c r="A16" s="362"/>
      <c r="B16" s="365"/>
      <c r="C16" s="81" t="s">
        <v>11</v>
      </c>
      <c r="D16" s="368"/>
      <c r="E16" s="151">
        <f>SUM(F16:J16)-F16</f>
        <v>7504000</v>
      </c>
      <c r="F16" s="22">
        <f>F19+F22</f>
        <v>3752000</v>
      </c>
      <c r="G16" s="22">
        <f>G19+G22</f>
        <v>3752000</v>
      </c>
      <c r="H16" s="25">
        <f t="shared" si="1"/>
        <v>3752000</v>
      </c>
      <c r="I16" s="25">
        <f t="shared" si="1"/>
        <v>0</v>
      </c>
      <c r="J16" s="27">
        <f t="shared" si="1"/>
        <v>0</v>
      </c>
      <c r="K16" s="234"/>
      <c r="L16" s="358"/>
    </row>
    <row r="17" spans="1:12" ht="13.5" customHeight="1">
      <c r="A17" s="369"/>
      <c r="B17" s="372" t="s">
        <v>12</v>
      </c>
      <c r="C17" s="83" t="s">
        <v>8</v>
      </c>
      <c r="D17" s="375">
        <v>3752000</v>
      </c>
      <c r="E17" s="152">
        <f t="shared" si="0"/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  <c r="K17" s="235"/>
      <c r="L17" s="358"/>
    </row>
    <row r="18" spans="1:12" ht="12.75">
      <c r="A18" s="370"/>
      <c r="B18" s="373"/>
      <c r="C18" s="84" t="s">
        <v>10</v>
      </c>
      <c r="D18" s="376"/>
      <c r="E18" s="153">
        <f t="shared" si="0"/>
        <v>0</v>
      </c>
      <c r="F18" s="31">
        <v>0</v>
      </c>
      <c r="G18" s="31">
        <v>0</v>
      </c>
      <c r="H18" s="31">
        <v>0</v>
      </c>
      <c r="I18" s="31">
        <v>0</v>
      </c>
      <c r="J18" s="32">
        <v>0</v>
      </c>
      <c r="K18" s="236"/>
      <c r="L18" s="358"/>
    </row>
    <row r="19" spans="1:12" ht="13.5" thickBot="1">
      <c r="A19" s="371"/>
      <c r="B19" s="374"/>
      <c r="C19" s="84" t="s">
        <v>11</v>
      </c>
      <c r="D19" s="377"/>
      <c r="E19" s="154">
        <f>SUM(F19:J19)-F19</f>
        <v>7504000</v>
      </c>
      <c r="F19" s="17">
        <v>3752000</v>
      </c>
      <c r="G19" s="17">
        <v>3752000</v>
      </c>
      <c r="H19" s="34">
        <v>3752000</v>
      </c>
      <c r="I19" s="34">
        <v>0</v>
      </c>
      <c r="J19" s="35">
        <v>0</v>
      </c>
      <c r="K19" s="237"/>
      <c r="L19" s="358"/>
    </row>
    <row r="20" spans="1:12" ht="13.5" customHeight="1">
      <c r="A20" s="369"/>
      <c r="B20" s="372" t="s">
        <v>13</v>
      </c>
      <c r="C20" s="83" t="s">
        <v>8</v>
      </c>
      <c r="D20" s="375">
        <v>152722400</v>
      </c>
      <c r="E20" s="152">
        <f t="shared" si="0"/>
        <v>0</v>
      </c>
      <c r="F20" s="29">
        <v>0</v>
      </c>
      <c r="G20" s="29">
        <v>0</v>
      </c>
      <c r="H20" s="36"/>
      <c r="I20" s="28">
        <v>0</v>
      </c>
      <c r="J20" s="37">
        <v>0</v>
      </c>
      <c r="K20" s="378" t="s">
        <v>67</v>
      </c>
      <c r="L20" s="358"/>
    </row>
    <row r="21" spans="1:12" ht="12.75">
      <c r="A21" s="370"/>
      <c r="B21" s="373"/>
      <c r="C21" s="84" t="s">
        <v>10</v>
      </c>
      <c r="D21" s="376"/>
      <c r="E21" s="153">
        <f t="shared" si="0"/>
        <v>0</v>
      </c>
      <c r="F21" s="31">
        <v>0</v>
      </c>
      <c r="G21" s="31">
        <v>0</v>
      </c>
      <c r="H21" s="31">
        <v>0</v>
      </c>
      <c r="I21" s="31">
        <v>0</v>
      </c>
      <c r="J21" s="32">
        <v>0</v>
      </c>
      <c r="K21" s="379"/>
      <c r="L21" s="358"/>
    </row>
    <row r="22" spans="1:13" ht="57.75" customHeight="1" thickBot="1">
      <c r="A22" s="371"/>
      <c r="B22" s="374"/>
      <c r="C22" s="84" t="s">
        <v>11</v>
      </c>
      <c r="D22" s="377"/>
      <c r="E22" s="154">
        <f t="shared" si="0"/>
        <v>0</v>
      </c>
      <c r="F22" s="33">
        <v>0</v>
      </c>
      <c r="G22" s="33">
        <v>0</v>
      </c>
      <c r="H22" s="33">
        <v>0</v>
      </c>
      <c r="I22" s="33">
        <v>0</v>
      </c>
      <c r="J22" s="35">
        <v>0</v>
      </c>
      <c r="K22" s="380"/>
      <c r="L22" s="358"/>
      <c r="M22" s="134"/>
    </row>
    <row r="23" spans="1:12" ht="13.5" customHeight="1" thickBot="1">
      <c r="A23" s="360">
        <v>2</v>
      </c>
      <c r="B23" s="363" t="s">
        <v>49</v>
      </c>
      <c r="C23" s="77" t="s">
        <v>8</v>
      </c>
      <c r="D23" s="366">
        <f>D26+D29</f>
        <v>150193178.68</v>
      </c>
      <c r="E23" s="149">
        <f t="shared" si="0"/>
        <v>2193178.6799999997</v>
      </c>
      <c r="F23" s="18">
        <f>F26+F29</f>
        <v>0</v>
      </c>
      <c r="G23" s="18">
        <f>G26+G29</f>
        <v>0</v>
      </c>
      <c r="H23" s="18">
        <f>H26+H29</f>
        <v>0</v>
      </c>
      <c r="I23" s="18">
        <f>I26+I29</f>
        <v>1076652.98</v>
      </c>
      <c r="J23" s="20">
        <f>J26+J29</f>
        <v>1116525.7</v>
      </c>
      <c r="K23" s="232"/>
      <c r="L23" s="358"/>
    </row>
    <row r="24" spans="1:12" ht="13.5" customHeight="1">
      <c r="A24" s="361"/>
      <c r="B24" s="364"/>
      <c r="C24" s="79" t="s">
        <v>10</v>
      </c>
      <c r="D24" s="367"/>
      <c r="E24" s="150">
        <f t="shared" si="0"/>
        <v>0</v>
      </c>
      <c r="F24" s="22">
        <v>0</v>
      </c>
      <c r="G24" s="22">
        <f aca="true" t="shared" si="2" ref="G24:J25">G27+G30</f>
        <v>0</v>
      </c>
      <c r="H24" s="22">
        <f t="shared" si="2"/>
        <v>0</v>
      </c>
      <c r="I24" s="18">
        <f t="shared" si="2"/>
        <v>0</v>
      </c>
      <c r="J24" s="24">
        <f t="shared" si="2"/>
        <v>0</v>
      </c>
      <c r="K24" s="233"/>
      <c r="L24" s="358"/>
    </row>
    <row r="25" spans="1:12" ht="15.75" customHeight="1" thickBot="1">
      <c r="A25" s="362"/>
      <c r="B25" s="365"/>
      <c r="C25" s="81" t="s">
        <v>11</v>
      </c>
      <c r="D25" s="368"/>
      <c r="E25" s="151">
        <f t="shared" si="0"/>
        <v>0</v>
      </c>
      <c r="F25" s="22">
        <f>F28+F31</f>
        <v>0</v>
      </c>
      <c r="G25" s="22">
        <f t="shared" si="2"/>
        <v>0</v>
      </c>
      <c r="H25" s="25">
        <f t="shared" si="2"/>
        <v>0</v>
      </c>
      <c r="I25" s="25">
        <f t="shared" si="2"/>
        <v>0</v>
      </c>
      <c r="J25" s="27">
        <f t="shared" si="2"/>
        <v>0</v>
      </c>
      <c r="K25" s="234"/>
      <c r="L25" s="358"/>
    </row>
    <row r="26" spans="1:12" ht="12.75">
      <c r="A26" s="369"/>
      <c r="B26" s="372" t="s">
        <v>154</v>
      </c>
      <c r="C26" s="83" t="s">
        <v>8</v>
      </c>
      <c r="D26" s="375">
        <f>E26+E27+E28</f>
        <v>2193178.6799999997</v>
      </c>
      <c r="E26" s="152">
        <f t="shared" si="0"/>
        <v>2193178.6799999997</v>
      </c>
      <c r="F26" s="29">
        <v>0</v>
      </c>
      <c r="G26" s="29">
        <v>0</v>
      </c>
      <c r="H26" s="36">
        <v>0</v>
      </c>
      <c r="I26" s="28">
        <f>416652.98+660000</f>
        <v>1076652.98</v>
      </c>
      <c r="J26" s="37">
        <v>1116525.7</v>
      </c>
      <c r="K26" s="239"/>
      <c r="L26" s="358"/>
    </row>
    <row r="27" spans="1:12" ht="12.75">
      <c r="A27" s="370"/>
      <c r="B27" s="373"/>
      <c r="C27" s="84" t="s">
        <v>10</v>
      </c>
      <c r="D27" s="376"/>
      <c r="E27" s="153">
        <f t="shared" si="0"/>
        <v>0</v>
      </c>
      <c r="F27" s="31">
        <v>0</v>
      </c>
      <c r="G27" s="31">
        <v>0</v>
      </c>
      <c r="H27" s="31">
        <v>0</v>
      </c>
      <c r="I27" s="31">
        <v>0</v>
      </c>
      <c r="J27" s="32">
        <v>0</v>
      </c>
      <c r="K27" s="236"/>
      <c r="L27" s="358"/>
    </row>
    <row r="28" spans="1:12" ht="13.5" customHeight="1" thickBot="1">
      <c r="A28" s="371"/>
      <c r="B28" s="374"/>
      <c r="C28" s="84" t="s">
        <v>11</v>
      </c>
      <c r="D28" s="377"/>
      <c r="E28" s="154">
        <f t="shared" si="0"/>
        <v>0</v>
      </c>
      <c r="F28" s="33">
        <v>0</v>
      </c>
      <c r="G28" s="33">
        <v>0</v>
      </c>
      <c r="H28" s="33">
        <v>0</v>
      </c>
      <c r="I28" s="33">
        <v>0</v>
      </c>
      <c r="J28" s="35">
        <v>0</v>
      </c>
      <c r="K28" s="237"/>
      <c r="L28" s="358"/>
    </row>
    <row r="29" spans="1:12" ht="13.5" customHeight="1">
      <c r="A29" s="369"/>
      <c r="B29" s="381" t="s">
        <v>31</v>
      </c>
      <c r="C29" s="83" t="s">
        <v>8</v>
      </c>
      <c r="D29" s="375">
        <v>148000000</v>
      </c>
      <c r="E29" s="152">
        <f t="shared" si="0"/>
        <v>0</v>
      </c>
      <c r="F29" s="29">
        <v>0</v>
      </c>
      <c r="G29" s="29">
        <v>0</v>
      </c>
      <c r="H29" s="29">
        <v>0</v>
      </c>
      <c r="I29" s="28">
        <v>0</v>
      </c>
      <c r="J29" s="37">
        <v>0</v>
      </c>
      <c r="K29" s="378" t="s">
        <v>67</v>
      </c>
      <c r="L29" s="358"/>
    </row>
    <row r="30" spans="1:12" ht="12.75">
      <c r="A30" s="370"/>
      <c r="B30" s="382"/>
      <c r="C30" s="84" t="s">
        <v>10</v>
      </c>
      <c r="D30" s="376"/>
      <c r="E30" s="153">
        <f t="shared" si="0"/>
        <v>0</v>
      </c>
      <c r="F30" s="31">
        <v>0</v>
      </c>
      <c r="G30" s="31">
        <v>0</v>
      </c>
      <c r="H30" s="31">
        <v>0</v>
      </c>
      <c r="I30" s="38">
        <v>0</v>
      </c>
      <c r="J30" s="32">
        <v>0</v>
      </c>
      <c r="K30" s="379"/>
      <c r="L30" s="358"/>
    </row>
    <row r="31" spans="1:12" ht="62.25" customHeight="1" thickBot="1">
      <c r="A31" s="371"/>
      <c r="B31" s="383"/>
      <c r="C31" s="84" t="s">
        <v>11</v>
      </c>
      <c r="D31" s="377"/>
      <c r="E31" s="154">
        <f t="shared" si="0"/>
        <v>0</v>
      </c>
      <c r="F31" s="33">
        <v>0</v>
      </c>
      <c r="G31" s="33">
        <v>0</v>
      </c>
      <c r="H31" s="33">
        <v>0</v>
      </c>
      <c r="I31" s="33">
        <v>0</v>
      </c>
      <c r="J31" s="35">
        <v>0</v>
      </c>
      <c r="K31" s="380"/>
      <c r="L31" s="358"/>
    </row>
    <row r="32" spans="1:12" s="5" customFormat="1" ht="12.75" customHeight="1">
      <c r="A32" s="360">
        <v>3</v>
      </c>
      <c r="B32" s="363" t="s">
        <v>14</v>
      </c>
      <c r="C32" s="77" t="s">
        <v>8</v>
      </c>
      <c r="D32" s="366">
        <f>E32+E33+E34</f>
        <v>49768975.98</v>
      </c>
      <c r="E32" s="149">
        <f t="shared" si="0"/>
        <v>0</v>
      </c>
      <c r="F32" s="18">
        <v>0</v>
      </c>
      <c r="G32" s="18">
        <v>0</v>
      </c>
      <c r="H32" s="18">
        <v>0</v>
      </c>
      <c r="I32" s="18">
        <v>0</v>
      </c>
      <c r="J32" s="20">
        <v>0</v>
      </c>
      <c r="K32" s="232"/>
      <c r="L32" s="358"/>
    </row>
    <row r="33" spans="1:12" s="5" customFormat="1" ht="12.75" customHeight="1">
      <c r="A33" s="361"/>
      <c r="B33" s="364"/>
      <c r="C33" s="79" t="s">
        <v>10</v>
      </c>
      <c r="D33" s="367"/>
      <c r="E33" s="155">
        <f t="shared" si="0"/>
        <v>0</v>
      </c>
      <c r="F33" s="22">
        <v>0</v>
      </c>
      <c r="G33" s="22">
        <v>0</v>
      </c>
      <c r="H33" s="22">
        <v>0</v>
      </c>
      <c r="I33" s="22">
        <v>0</v>
      </c>
      <c r="J33" s="24">
        <v>0</v>
      </c>
      <c r="K33" s="233"/>
      <c r="L33" s="358"/>
    </row>
    <row r="34" spans="1:12" s="5" customFormat="1" ht="13.5" customHeight="1" thickBot="1">
      <c r="A34" s="362"/>
      <c r="B34" s="365"/>
      <c r="C34" s="81" t="s">
        <v>11</v>
      </c>
      <c r="D34" s="368"/>
      <c r="E34" s="151">
        <f t="shared" si="0"/>
        <v>49768975.98</v>
      </c>
      <c r="F34" s="25">
        <v>0</v>
      </c>
      <c r="G34" s="25">
        <v>49768975.98</v>
      </c>
      <c r="H34" s="25">
        <v>0</v>
      </c>
      <c r="I34" s="25">
        <v>0</v>
      </c>
      <c r="J34" s="27">
        <v>0</v>
      </c>
      <c r="K34" s="234"/>
      <c r="L34" s="358"/>
    </row>
    <row r="35" spans="1:12" s="5" customFormat="1" ht="13.5" customHeight="1">
      <c r="A35" s="360">
        <v>4</v>
      </c>
      <c r="B35" s="363" t="s">
        <v>27</v>
      </c>
      <c r="C35" s="77" t="s">
        <v>8</v>
      </c>
      <c r="D35" s="366">
        <f>G35</f>
        <v>1756768.66</v>
      </c>
      <c r="E35" s="149">
        <f t="shared" si="0"/>
        <v>1756768.66</v>
      </c>
      <c r="F35" s="18">
        <v>0</v>
      </c>
      <c r="G35" s="22">
        <v>1756768.66</v>
      </c>
      <c r="H35" s="18">
        <v>0</v>
      </c>
      <c r="I35" s="18">
        <v>0</v>
      </c>
      <c r="J35" s="20">
        <v>0</v>
      </c>
      <c r="K35" s="232"/>
      <c r="L35" s="358"/>
    </row>
    <row r="36" spans="1:12" s="5" customFormat="1" ht="12.75">
      <c r="A36" s="361"/>
      <c r="B36" s="364"/>
      <c r="C36" s="79" t="s">
        <v>10</v>
      </c>
      <c r="D36" s="367"/>
      <c r="E36" s="150">
        <f t="shared" si="0"/>
        <v>0</v>
      </c>
      <c r="F36" s="22">
        <f>SUM(G36:L36)</f>
        <v>0</v>
      </c>
      <c r="G36" s="22">
        <v>0</v>
      </c>
      <c r="H36" s="22">
        <v>0</v>
      </c>
      <c r="I36" s="22">
        <v>0</v>
      </c>
      <c r="J36" s="24">
        <v>0</v>
      </c>
      <c r="K36" s="233"/>
      <c r="L36" s="358"/>
    </row>
    <row r="37" spans="1:12" s="5" customFormat="1" ht="13.5" thickBot="1">
      <c r="A37" s="362"/>
      <c r="B37" s="365"/>
      <c r="C37" s="81" t="s">
        <v>11</v>
      </c>
      <c r="D37" s="368"/>
      <c r="E37" s="151">
        <f t="shared" si="0"/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34"/>
      <c r="L37" s="358"/>
    </row>
    <row r="38" spans="1:12" s="5" customFormat="1" ht="13.5" customHeight="1">
      <c r="A38" s="360">
        <v>5</v>
      </c>
      <c r="B38" s="363" t="s">
        <v>15</v>
      </c>
      <c r="C38" s="77" t="s">
        <v>8</v>
      </c>
      <c r="D38" s="366">
        <f>E38+E39+E40</f>
        <v>855064.1799999999</v>
      </c>
      <c r="E38" s="149">
        <f t="shared" si="0"/>
        <v>301419.48000000004</v>
      </c>
      <c r="F38" s="18">
        <f aca="true" t="shared" si="3" ref="F38:J40">F41+F44</f>
        <v>0</v>
      </c>
      <c r="G38" s="18">
        <f>G41+G44+G47</f>
        <v>0</v>
      </c>
      <c r="H38" s="18">
        <f>H41+H44+H47</f>
        <v>12393.46</v>
      </c>
      <c r="I38" s="210">
        <f>I41+I44+I47</f>
        <v>289026.02</v>
      </c>
      <c r="J38" s="20">
        <f>J41+J44+J47</f>
        <v>0</v>
      </c>
      <c r="K38" s="232"/>
      <c r="L38" s="358"/>
    </row>
    <row r="39" spans="1:12" s="5" customFormat="1" ht="12.75">
      <c r="A39" s="361"/>
      <c r="B39" s="364"/>
      <c r="C39" s="79" t="s">
        <v>10</v>
      </c>
      <c r="D39" s="367"/>
      <c r="E39" s="150">
        <f t="shared" si="0"/>
        <v>553644.7</v>
      </c>
      <c r="F39" s="22">
        <f t="shared" si="3"/>
        <v>0</v>
      </c>
      <c r="G39" s="22">
        <f t="shared" si="3"/>
        <v>318168.96</v>
      </c>
      <c r="H39" s="22">
        <f>H42+H45+H48</f>
        <v>235475.74</v>
      </c>
      <c r="I39" s="22">
        <f t="shared" si="3"/>
        <v>0</v>
      </c>
      <c r="J39" s="24">
        <f t="shared" si="3"/>
        <v>0</v>
      </c>
      <c r="K39" s="233"/>
      <c r="L39" s="358"/>
    </row>
    <row r="40" spans="1:13" s="5" customFormat="1" ht="13.5" thickBot="1">
      <c r="A40" s="362"/>
      <c r="B40" s="365"/>
      <c r="C40" s="81" t="s">
        <v>11</v>
      </c>
      <c r="D40" s="368"/>
      <c r="E40" s="151">
        <f t="shared" si="0"/>
        <v>0</v>
      </c>
      <c r="F40" s="25">
        <f t="shared" si="3"/>
        <v>0</v>
      </c>
      <c r="G40" s="25">
        <f t="shared" si="3"/>
        <v>0</v>
      </c>
      <c r="H40" s="25">
        <v>0</v>
      </c>
      <c r="I40" s="25">
        <f t="shared" si="3"/>
        <v>0</v>
      </c>
      <c r="J40" s="27">
        <f t="shared" si="3"/>
        <v>0</v>
      </c>
      <c r="K40" s="234"/>
      <c r="L40" s="358"/>
      <c r="M40" s="148"/>
    </row>
    <row r="41" spans="1:13" s="5" customFormat="1" ht="13.5" customHeight="1">
      <c r="A41" s="384"/>
      <c r="B41" s="387" t="s">
        <v>52</v>
      </c>
      <c r="C41" s="86" t="s">
        <v>8</v>
      </c>
      <c r="D41" s="375">
        <f>H41+H42</f>
        <v>0</v>
      </c>
      <c r="E41" s="156">
        <f t="shared" si="0"/>
        <v>289026.02</v>
      </c>
      <c r="F41" s="39">
        <v>0</v>
      </c>
      <c r="G41" s="39">
        <v>0</v>
      </c>
      <c r="H41" s="39">
        <v>0</v>
      </c>
      <c r="I41" s="39">
        <v>289026.02</v>
      </c>
      <c r="J41" s="40">
        <v>0</v>
      </c>
      <c r="K41" s="390"/>
      <c r="L41" s="358"/>
      <c r="M41" s="148"/>
    </row>
    <row r="42" spans="1:12" s="5" customFormat="1" ht="12.75">
      <c r="A42" s="385"/>
      <c r="B42" s="388"/>
      <c r="C42" s="87" t="s">
        <v>10</v>
      </c>
      <c r="D42" s="376"/>
      <c r="E42" s="157">
        <f t="shared" si="0"/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391"/>
      <c r="L42" s="358"/>
    </row>
    <row r="43" spans="1:13" s="5" customFormat="1" ht="13.5" thickBot="1">
      <c r="A43" s="386"/>
      <c r="B43" s="389"/>
      <c r="C43" s="88" t="s">
        <v>11</v>
      </c>
      <c r="D43" s="377"/>
      <c r="E43" s="158">
        <f t="shared" si="0"/>
        <v>0</v>
      </c>
      <c r="F43" s="43">
        <v>0</v>
      </c>
      <c r="G43" s="43">
        <v>0</v>
      </c>
      <c r="H43" s="43">
        <v>0</v>
      </c>
      <c r="I43" s="43">
        <v>0</v>
      </c>
      <c r="J43" s="44">
        <v>0</v>
      </c>
      <c r="K43" s="392"/>
      <c r="L43" s="358"/>
      <c r="M43" s="194"/>
    </row>
    <row r="44" spans="1:13" s="5" customFormat="1" ht="13.5" customHeight="1">
      <c r="A44" s="384"/>
      <c r="B44" s="387" t="s">
        <v>51</v>
      </c>
      <c r="C44" s="86" t="s">
        <v>8</v>
      </c>
      <c r="D44" s="375">
        <f>E44+E45+E46</f>
        <v>318168.96</v>
      </c>
      <c r="E44" s="156">
        <f t="shared" si="0"/>
        <v>0</v>
      </c>
      <c r="F44" s="39">
        <v>0</v>
      </c>
      <c r="G44" s="39">
        <v>0</v>
      </c>
      <c r="H44" s="39">
        <v>0</v>
      </c>
      <c r="I44" s="39">
        <v>0</v>
      </c>
      <c r="J44" s="40">
        <v>0</v>
      </c>
      <c r="K44" s="240"/>
      <c r="L44" s="358"/>
      <c r="M44" s="195"/>
    </row>
    <row r="45" spans="1:13" s="5" customFormat="1" ht="12.75">
      <c r="A45" s="385"/>
      <c r="B45" s="388"/>
      <c r="C45" s="87" t="s">
        <v>10</v>
      </c>
      <c r="D45" s="376"/>
      <c r="E45" s="157">
        <f t="shared" si="0"/>
        <v>318168.96</v>
      </c>
      <c r="F45" s="41">
        <v>0</v>
      </c>
      <c r="G45" s="41">
        <f>379349.96-G90</f>
        <v>318168.96</v>
      </c>
      <c r="H45" s="41">
        <v>0</v>
      </c>
      <c r="I45" s="41">
        <v>0</v>
      </c>
      <c r="J45" s="42">
        <v>0</v>
      </c>
      <c r="K45" s="241"/>
      <c r="L45" s="358"/>
      <c r="M45" s="195"/>
    </row>
    <row r="46" spans="1:13" s="5" customFormat="1" ht="13.5" thickBot="1">
      <c r="A46" s="386"/>
      <c r="B46" s="389"/>
      <c r="C46" s="88" t="s">
        <v>11</v>
      </c>
      <c r="D46" s="377"/>
      <c r="E46" s="158">
        <f t="shared" si="0"/>
        <v>0</v>
      </c>
      <c r="F46" s="43">
        <v>0</v>
      </c>
      <c r="G46" s="43">
        <v>0</v>
      </c>
      <c r="H46" s="43">
        <v>0</v>
      </c>
      <c r="I46" s="43">
        <v>0</v>
      </c>
      <c r="J46" s="44">
        <v>0</v>
      </c>
      <c r="K46" s="242"/>
      <c r="L46" s="358"/>
      <c r="M46" s="195"/>
    </row>
    <row r="47" spans="1:13" s="5" customFormat="1" ht="12.75">
      <c r="A47" s="384"/>
      <c r="B47" s="387" t="s">
        <v>55</v>
      </c>
      <c r="C47" s="86" t="s">
        <v>8</v>
      </c>
      <c r="D47" s="375">
        <f>H47+H48</f>
        <v>247869.19999999998</v>
      </c>
      <c r="E47" s="207">
        <f>SUM(F47:J47)</f>
        <v>12393.46</v>
      </c>
      <c r="F47" s="39">
        <v>0</v>
      </c>
      <c r="G47" s="39">
        <v>0</v>
      </c>
      <c r="H47" s="39">
        <f>ROUND((242630+5239.2)*5/100,2)</f>
        <v>12393.46</v>
      </c>
      <c r="I47" s="39">
        <v>0</v>
      </c>
      <c r="J47" s="40">
        <v>0</v>
      </c>
      <c r="K47" s="240"/>
      <c r="L47" s="358"/>
      <c r="M47" s="195"/>
    </row>
    <row r="48" spans="1:13" s="5" customFormat="1" ht="12.75">
      <c r="A48" s="385"/>
      <c r="B48" s="388"/>
      <c r="C48" s="87" t="s">
        <v>10</v>
      </c>
      <c r="D48" s="376"/>
      <c r="E48" s="208">
        <f>SUM(F48:J48)</f>
        <v>235475.74</v>
      </c>
      <c r="F48" s="41">
        <v>0</v>
      </c>
      <c r="G48" s="41">
        <v>0</v>
      </c>
      <c r="H48" s="41">
        <f>ROUND((242630+5239.2)*95/100,2)</f>
        <v>235475.74</v>
      </c>
      <c r="I48" s="41">
        <v>0</v>
      </c>
      <c r="J48" s="42">
        <v>0</v>
      </c>
      <c r="K48" s="241"/>
      <c r="L48" s="358"/>
      <c r="M48" s="195"/>
    </row>
    <row r="49" spans="1:13" s="5" customFormat="1" ht="12.75" customHeight="1" thickBot="1">
      <c r="A49" s="386"/>
      <c r="B49" s="389"/>
      <c r="C49" s="88" t="s">
        <v>11</v>
      </c>
      <c r="D49" s="377"/>
      <c r="E49" s="209">
        <f>SUM(F49:J49)</f>
        <v>0</v>
      </c>
      <c r="F49" s="43">
        <v>0</v>
      </c>
      <c r="G49" s="43">
        <v>0</v>
      </c>
      <c r="H49" s="43">
        <v>0</v>
      </c>
      <c r="I49" s="43">
        <v>0</v>
      </c>
      <c r="J49" s="44">
        <v>0</v>
      </c>
      <c r="K49" s="242"/>
      <c r="L49" s="358"/>
      <c r="M49" s="195"/>
    </row>
    <row r="50" spans="1:13" s="5" customFormat="1" ht="12.75" customHeight="1" hidden="1">
      <c r="A50" s="360">
        <v>6</v>
      </c>
      <c r="B50" s="363" t="s">
        <v>28</v>
      </c>
      <c r="C50" s="77" t="s">
        <v>8</v>
      </c>
      <c r="D50" s="366">
        <f>E50+E51+E52</f>
        <v>0</v>
      </c>
      <c r="E50" s="149">
        <f t="shared" si="0"/>
        <v>0</v>
      </c>
      <c r="F50" s="19">
        <v>0</v>
      </c>
      <c r="G50" s="18">
        <v>0</v>
      </c>
      <c r="H50" s="18">
        <v>0</v>
      </c>
      <c r="I50" s="18">
        <v>0</v>
      </c>
      <c r="J50" s="20">
        <v>0</v>
      </c>
      <c r="K50" s="232"/>
      <c r="L50" s="358"/>
      <c r="M50" s="195"/>
    </row>
    <row r="51" spans="1:13" s="5" customFormat="1" ht="12" customHeight="1" hidden="1">
      <c r="A51" s="361"/>
      <c r="B51" s="364"/>
      <c r="C51" s="79" t="s">
        <v>10</v>
      </c>
      <c r="D51" s="367"/>
      <c r="E51" s="150">
        <f t="shared" si="0"/>
        <v>0</v>
      </c>
      <c r="F51" s="23">
        <v>0</v>
      </c>
      <c r="G51" s="22">
        <v>0</v>
      </c>
      <c r="H51" s="22">
        <v>0</v>
      </c>
      <c r="I51" s="22">
        <v>0</v>
      </c>
      <c r="J51" s="24">
        <v>0</v>
      </c>
      <c r="K51" s="233"/>
      <c r="L51" s="358"/>
      <c r="M51" s="195"/>
    </row>
    <row r="52" spans="1:13" s="5" customFormat="1" ht="12.75" customHeight="1" hidden="1">
      <c r="A52" s="362"/>
      <c r="B52" s="365"/>
      <c r="C52" s="81" t="s">
        <v>11</v>
      </c>
      <c r="D52" s="368"/>
      <c r="E52" s="151">
        <f t="shared" si="0"/>
        <v>0</v>
      </c>
      <c r="F52" s="110">
        <v>0</v>
      </c>
      <c r="G52" s="110"/>
      <c r="H52" s="25">
        <v>0</v>
      </c>
      <c r="I52" s="25">
        <v>0</v>
      </c>
      <c r="J52" s="27">
        <v>0</v>
      </c>
      <c r="K52" s="234"/>
      <c r="L52" s="358"/>
      <c r="M52" s="195"/>
    </row>
    <row r="53" spans="1:13" ht="12.75" customHeight="1">
      <c r="A53" s="360" t="s">
        <v>96</v>
      </c>
      <c r="B53" s="363" t="s">
        <v>25</v>
      </c>
      <c r="C53" s="77" t="s">
        <v>16</v>
      </c>
      <c r="D53" s="45"/>
      <c r="E53" s="159">
        <f t="shared" si="0"/>
        <v>2342501.01</v>
      </c>
      <c r="F53" s="129">
        <f>2342501.01</f>
        <v>2342501.01</v>
      </c>
      <c r="G53" s="129">
        <v>0</v>
      </c>
      <c r="H53" s="137">
        <v>0</v>
      </c>
      <c r="I53" s="18">
        <v>0</v>
      </c>
      <c r="J53" s="20">
        <v>0</v>
      </c>
      <c r="K53" s="232"/>
      <c r="L53" s="358"/>
      <c r="M53" s="276"/>
    </row>
    <row r="54" spans="1:13" ht="15.75" customHeight="1">
      <c r="A54" s="361"/>
      <c r="B54" s="364"/>
      <c r="C54" s="79" t="s">
        <v>10</v>
      </c>
      <c r="D54" s="46">
        <f>E53+E54+E55</f>
        <v>2342501.01</v>
      </c>
      <c r="E54" s="160">
        <f t="shared" si="0"/>
        <v>0</v>
      </c>
      <c r="F54" s="140">
        <v>0</v>
      </c>
      <c r="G54" s="131">
        <v>0</v>
      </c>
      <c r="H54" s="138">
        <v>0</v>
      </c>
      <c r="I54" s="22">
        <v>0</v>
      </c>
      <c r="J54" s="24">
        <v>0</v>
      </c>
      <c r="K54" s="233"/>
      <c r="L54" s="358"/>
      <c r="M54" s="1"/>
    </row>
    <row r="55" spans="1:13" ht="13.5" thickBot="1">
      <c r="A55" s="362"/>
      <c r="B55" s="365"/>
      <c r="C55" s="112" t="s">
        <v>11</v>
      </c>
      <c r="D55" s="109"/>
      <c r="E55" s="161">
        <f t="shared" si="0"/>
        <v>0</v>
      </c>
      <c r="F55" s="141">
        <v>0</v>
      </c>
      <c r="G55" s="133">
        <v>0</v>
      </c>
      <c r="H55" s="139">
        <v>0</v>
      </c>
      <c r="I55" s="113">
        <v>0</v>
      </c>
      <c r="J55" s="120">
        <v>0</v>
      </c>
      <c r="K55" s="234"/>
      <c r="L55" s="358"/>
      <c r="M55" s="1"/>
    </row>
    <row r="56" spans="1:12" s="8" customFormat="1" ht="13.5" customHeight="1">
      <c r="A56" s="360" t="s">
        <v>97</v>
      </c>
      <c r="B56" s="393" t="s">
        <v>26</v>
      </c>
      <c r="C56" s="117" t="s">
        <v>16</v>
      </c>
      <c r="D56" s="396">
        <f>E56+E57+E58</f>
        <v>4311271.74</v>
      </c>
      <c r="E56" s="162">
        <f t="shared" si="0"/>
        <v>4311271.74</v>
      </c>
      <c r="F56" s="129">
        <f>4141866.08+169405.66</f>
        <v>4311271.74</v>
      </c>
      <c r="G56" s="121">
        <v>0</v>
      </c>
      <c r="H56" s="121">
        <v>0</v>
      </c>
      <c r="I56" s="121">
        <v>0</v>
      </c>
      <c r="J56" s="123">
        <v>0</v>
      </c>
      <c r="K56" s="243"/>
      <c r="L56" s="358"/>
    </row>
    <row r="57" spans="1:12" s="8" customFormat="1" ht="12.75">
      <c r="A57" s="361"/>
      <c r="B57" s="394"/>
      <c r="C57" s="118" t="s">
        <v>10</v>
      </c>
      <c r="D57" s="397"/>
      <c r="E57" s="160">
        <f t="shared" si="0"/>
        <v>0</v>
      </c>
      <c r="F57" s="140">
        <v>0</v>
      </c>
      <c r="G57" s="23">
        <v>0</v>
      </c>
      <c r="H57" s="23">
        <v>0</v>
      </c>
      <c r="I57" s="23">
        <v>0</v>
      </c>
      <c r="J57" s="124">
        <v>0</v>
      </c>
      <c r="K57" s="244"/>
      <c r="L57" s="358"/>
    </row>
    <row r="58" spans="1:12" s="8" customFormat="1" ht="13.5" thickBot="1">
      <c r="A58" s="362"/>
      <c r="B58" s="395"/>
      <c r="C58" s="119" t="s">
        <v>11</v>
      </c>
      <c r="D58" s="398"/>
      <c r="E58" s="163">
        <f t="shared" si="0"/>
        <v>0</v>
      </c>
      <c r="F58" s="145">
        <v>0</v>
      </c>
      <c r="G58" s="125">
        <v>0</v>
      </c>
      <c r="H58" s="125">
        <v>0</v>
      </c>
      <c r="I58" s="125">
        <v>0</v>
      </c>
      <c r="J58" s="127">
        <v>0</v>
      </c>
      <c r="K58" s="245"/>
      <c r="L58" s="358"/>
    </row>
    <row r="59" spans="1:12" s="8" customFormat="1" ht="13.5" customHeight="1">
      <c r="A59" s="360" t="s">
        <v>98</v>
      </c>
      <c r="B59" s="393" t="s">
        <v>24</v>
      </c>
      <c r="C59" s="128" t="s">
        <v>8</v>
      </c>
      <c r="D59" s="399">
        <f>E59+E60+E61</f>
        <v>1979233.93</v>
      </c>
      <c r="E59" s="162">
        <f t="shared" si="0"/>
        <v>1979233.93</v>
      </c>
      <c r="F59" s="144">
        <v>0</v>
      </c>
      <c r="G59" s="121">
        <v>1979233.93</v>
      </c>
      <c r="H59" s="122">
        <v>0</v>
      </c>
      <c r="I59" s="122">
        <v>0</v>
      </c>
      <c r="J59" s="129">
        <v>0</v>
      </c>
      <c r="K59" s="233"/>
      <c r="L59" s="358"/>
    </row>
    <row r="60" spans="1:12" s="8" customFormat="1" ht="12.75">
      <c r="A60" s="361"/>
      <c r="B60" s="394"/>
      <c r="C60" s="130" t="s">
        <v>10</v>
      </c>
      <c r="D60" s="367"/>
      <c r="E60" s="160">
        <f t="shared" si="0"/>
        <v>0</v>
      </c>
      <c r="F60" s="140">
        <v>0</v>
      </c>
      <c r="G60" s="23">
        <v>0</v>
      </c>
      <c r="H60" s="22">
        <v>0</v>
      </c>
      <c r="I60" s="22">
        <v>0</v>
      </c>
      <c r="J60" s="131">
        <v>0</v>
      </c>
      <c r="K60" s="233"/>
      <c r="L60" s="358"/>
    </row>
    <row r="61" spans="1:12" s="8" customFormat="1" ht="13.5" thickBot="1">
      <c r="A61" s="362"/>
      <c r="B61" s="395"/>
      <c r="C61" s="132" t="s">
        <v>11</v>
      </c>
      <c r="D61" s="400"/>
      <c r="E61" s="163">
        <f t="shared" si="0"/>
        <v>0</v>
      </c>
      <c r="F61" s="145">
        <v>0</v>
      </c>
      <c r="G61" s="125">
        <v>0</v>
      </c>
      <c r="H61" s="126">
        <v>0</v>
      </c>
      <c r="I61" s="126">
        <v>0</v>
      </c>
      <c r="J61" s="133">
        <v>0</v>
      </c>
      <c r="K61" s="234"/>
      <c r="L61" s="358"/>
    </row>
    <row r="62" spans="1:12" s="8" customFormat="1" ht="13.5" customHeight="1">
      <c r="A62" s="360" t="s">
        <v>99</v>
      </c>
      <c r="B62" s="363" t="s">
        <v>129</v>
      </c>
      <c r="C62" s="114" t="s">
        <v>8</v>
      </c>
      <c r="D62" s="399">
        <f>E62+E63+E64</f>
        <v>988741.18</v>
      </c>
      <c r="E62" s="164">
        <f t="shared" si="0"/>
        <v>988741.18</v>
      </c>
      <c r="F62" s="144">
        <v>0</v>
      </c>
      <c r="G62" s="121">
        <v>988741.18</v>
      </c>
      <c r="H62" s="122">
        <v>0</v>
      </c>
      <c r="I62" s="122">
        <v>0</v>
      </c>
      <c r="J62" s="129">
        <v>0</v>
      </c>
      <c r="K62" s="232"/>
      <c r="L62" s="358"/>
    </row>
    <row r="63" spans="1:12" s="8" customFormat="1" ht="12.75">
      <c r="A63" s="361"/>
      <c r="B63" s="364"/>
      <c r="C63" s="79" t="s">
        <v>10</v>
      </c>
      <c r="D63" s="367"/>
      <c r="E63" s="160">
        <f t="shared" si="0"/>
        <v>0</v>
      </c>
      <c r="F63" s="140">
        <v>0</v>
      </c>
      <c r="G63" s="23">
        <v>0</v>
      </c>
      <c r="H63" s="22">
        <v>0</v>
      </c>
      <c r="I63" s="22">
        <v>0</v>
      </c>
      <c r="J63" s="131">
        <v>0</v>
      </c>
      <c r="K63" s="233"/>
      <c r="L63" s="358"/>
    </row>
    <row r="64" spans="1:12" s="8" customFormat="1" ht="13.5" thickBot="1">
      <c r="A64" s="362"/>
      <c r="B64" s="365"/>
      <c r="C64" s="81" t="s">
        <v>11</v>
      </c>
      <c r="D64" s="368"/>
      <c r="E64" s="165">
        <f t="shared" si="0"/>
        <v>0</v>
      </c>
      <c r="F64" s="145">
        <v>0</v>
      </c>
      <c r="G64" s="125">
        <v>0</v>
      </c>
      <c r="H64" s="126">
        <v>0</v>
      </c>
      <c r="I64" s="126">
        <v>0</v>
      </c>
      <c r="J64" s="133">
        <v>0</v>
      </c>
      <c r="K64" s="234"/>
      <c r="L64" s="358"/>
    </row>
    <row r="65" spans="1:12" s="8" customFormat="1" ht="13.5" customHeight="1">
      <c r="A65" s="360" t="s">
        <v>100</v>
      </c>
      <c r="B65" s="363" t="s">
        <v>29</v>
      </c>
      <c r="C65" s="77" t="s">
        <v>8</v>
      </c>
      <c r="D65" s="366">
        <f>E65+E66+E67</f>
        <v>610513.12</v>
      </c>
      <c r="E65" s="160">
        <f t="shared" si="0"/>
        <v>610513.12</v>
      </c>
      <c r="F65" s="144">
        <v>0</v>
      </c>
      <c r="G65" s="121">
        <v>610513.12</v>
      </c>
      <c r="H65" s="122">
        <v>0</v>
      </c>
      <c r="I65" s="122">
        <v>0</v>
      </c>
      <c r="J65" s="129">
        <v>0</v>
      </c>
      <c r="K65" s="232"/>
      <c r="L65" s="358"/>
    </row>
    <row r="66" spans="1:12" s="8" customFormat="1" ht="12.75">
      <c r="A66" s="361"/>
      <c r="B66" s="364"/>
      <c r="C66" s="79" t="s">
        <v>10</v>
      </c>
      <c r="D66" s="367"/>
      <c r="E66" s="160">
        <f t="shared" si="0"/>
        <v>0</v>
      </c>
      <c r="F66" s="140">
        <v>0</v>
      </c>
      <c r="G66" s="23">
        <v>0</v>
      </c>
      <c r="H66" s="22">
        <v>0</v>
      </c>
      <c r="I66" s="22">
        <v>0</v>
      </c>
      <c r="J66" s="131">
        <v>0</v>
      </c>
      <c r="K66" s="233"/>
      <c r="L66" s="358"/>
    </row>
    <row r="67" spans="1:12" s="8" customFormat="1" ht="13.5" thickBot="1">
      <c r="A67" s="362"/>
      <c r="B67" s="365"/>
      <c r="C67" s="81" t="s">
        <v>11</v>
      </c>
      <c r="D67" s="368"/>
      <c r="E67" s="165">
        <f t="shared" si="0"/>
        <v>0</v>
      </c>
      <c r="F67" s="145">
        <v>0</v>
      </c>
      <c r="G67" s="125">
        <v>0</v>
      </c>
      <c r="H67" s="126">
        <v>0</v>
      </c>
      <c r="I67" s="126">
        <v>0</v>
      </c>
      <c r="J67" s="133">
        <v>0</v>
      </c>
      <c r="K67" s="234"/>
      <c r="L67" s="358"/>
    </row>
    <row r="68" spans="1:12" ht="12.75" customHeight="1">
      <c r="A68" s="360" t="s">
        <v>101</v>
      </c>
      <c r="B68" s="363" t="s">
        <v>30</v>
      </c>
      <c r="C68" s="77" t="s">
        <v>8</v>
      </c>
      <c r="D68" s="366">
        <f>F68+G68</f>
        <v>13997774.51</v>
      </c>
      <c r="E68" s="160"/>
      <c r="F68" s="144">
        <f>8496339.34+417000</f>
        <v>8913339.34</v>
      </c>
      <c r="G68" s="121">
        <f>4667435.17+417000</f>
        <v>5084435.17</v>
      </c>
      <c r="H68" s="122">
        <v>0</v>
      </c>
      <c r="I68" s="122">
        <v>0</v>
      </c>
      <c r="J68" s="129">
        <v>0</v>
      </c>
      <c r="K68" s="232"/>
      <c r="L68" s="358"/>
    </row>
    <row r="69" spans="1:12" ht="12.75">
      <c r="A69" s="361"/>
      <c r="B69" s="364"/>
      <c r="C69" s="79" t="s">
        <v>10</v>
      </c>
      <c r="D69" s="367"/>
      <c r="E69" s="160">
        <f>SUM(F69:I69)</f>
        <v>0</v>
      </c>
      <c r="F69" s="140">
        <v>0</v>
      </c>
      <c r="G69" s="23">
        <v>0</v>
      </c>
      <c r="H69" s="22">
        <v>0</v>
      </c>
      <c r="I69" s="22">
        <v>0</v>
      </c>
      <c r="J69" s="131">
        <v>0</v>
      </c>
      <c r="K69" s="233"/>
      <c r="L69" s="358"/>
    </row>
    <row r="70" spans="1:12" ht="19.5" customHeight="1" thickBot="1">
      <c r="A70" s="362"/>
      <c r="B70" s="365"/>
      <c r="C70" s="81" t="s">
        <v>11</v>
      </c>
      <c r="D70" s="368"/>
      <c r="E70" s="165">
        <f>SUM(F70:I70)</f>
        <v>0</v>
      </c>
      <c r="F70" s="145">
        <v>0</v>
      </c>
      <c r="G70" s="125">
        <v>0</v>
      </c>
      <c r="H70" s="126">
        <v>0</v>
      </c>
      <c r="I70" s="126">
        <v>0</v>
      </c>
      <c r="J70" s="133">
        <v>0</v>
      </c>
      <c r="K70" s="234"/>
      <c r="L70" s="358"/>
    </row>
    <row r="71" spans="1:12" s="5" customFormat="1" ht="12.75" customHeight="1">
      <c r="A71" s="360" t="s">
        <v>103</v>
      </c>
      <c r="B71" s="363" t="s">
        <v>54</v>
      </c>
      <c r="C71" s="77" t="s">
        <v>8</v>
      </c>
      <c r="D71" s="366">
        <f>E71+E72+E73</f>
        <v>211599.99</v>
      </c>
      <c r="E71" s="149">
        <f>SUM(F71:J71)</f>
        <v>211599.99</v>
      </c>
      <c r="F71" s="144">
        <v>211599.99</v>
      </c>
      <c r="G71" s="111">
        <v>0</v>
      </c>
      <c r="H71" s="115">
        <v>0</v>
      </c>
      <c r="I71" s="115">
        <v>0</v>
      </c>
      <c r="J71" s="116">
        <v>0</v>
      </c>
      <c r="K71" s="232"/>
      <c r="L71" s="358"/>
    </row>
    <row r="72" spans="1:12" s="5" customFormat="1" ht="12.75" customHeight="1">
      <c r="A72" s="361"/>
      <c r="B72" s="364"/>
      <c r="C72" s="79" t="s">
        <v>10</v>
      </c>
      <c r="D72" s="367"/>
      <c r="E72" s="155">
        <f>SUM(F72:J72)</f>
        <v>0</v>
      </c>
      <c r="F72" s="23">
        <v>0</v>
      </c>
      <c r="G72" s="23">
        <v>0</v>
      </c>
      <c r="H72" s="22">
        <v>0</v>
      </c>
      <c r="I72" s="22">
        <v>0</v>
      </c>
      <c r="J72" s="24">
        <v>0</v>
      </c>
      <c r="K72" s="233"/>
      <c r="L72" s="358"/>
    </row>
    <row r="73" spans="1:12" s="5" customFormat="1" ht="13.5" customHeight="1" thickBot="1">
      <c r="A73" s="362"/>
      <c r="B73" s="365"/>
      <c r="C73" s="81" t="s">
        <v>11</v>
      </c>
      <c r="D73" s="368"/>
      <c r="E73" s="151">
        <f>SUM(F73:J73)</f>
        <v>0</v>
      </c>
      <c r="F73" s="25">
        <v>0</v>
      </c>
      <c r="G73" s="25">
        <v>0</v>
      </c>
      <c r="H73" s="25">
        <v>0</v>
      </c>
      <c r="I73" s="25">
        <v>0</v>
      </c>
      <c r="J73" s="27">
        <v>0</v>
      </c>
      <c r="K73" s="234"/>
      <c r="L73" s="358"/>
    </row>
    <row r="74" spans="1:12" ht="12.75" customHeight="1">
      <c r="A74" s="360" t="s">
        <v>102</v>
      </c>
      <c r="B74" s="363" t="s">
        <v>65</v>
      </c>
      <c r="C74" s="77" t="s">
        <v>8</v>
      </c>
      <c r="D74" s="366">
        <f>E74+E75+E76</f>
        <v>111782397</v>
      </c>
      <c r="E74" s="150">
        <f>SUM(F74:J74)</f>
        <v>0</v>
      </c>
      <c r="F74" s="23">
        <f>SUM(G74:L74)</f>
        <v>0</v>
      </c>
      <c r="G74" s="23">
        <f>SUM(H74:L74)</f>
        <v>0</v>
      </c>
      <c r="H74" s="23">
        <f>SUM(I74:M74)</f>
        <v>0</v>
      </c>
      <c r="I74" s="23">
        <f>SUM(J74:N74)</f>
        <v>0</v>
      </c>
      <c r="J74" s="47">
        <f>SUM(L74:O74)</f>
        <v>0</v>
      </c>
      <c r="K74" s="243"/>
      <c r="L74" s="358"/>
    </row>
    <row r="75" spans="1:12" ht="12.75" customHeight="1">
      <c r="A75" s="361"/>
      <c r="B75" s="364"/>
      <c r="C75" s="79" t="s">
        <v>10</v>
      </c>
      <c r="D75" s="367"/>
      <c r="E75" s="150">
        <f>SUM(F75:I75)</f>
        <v>0</v>
      </c>
      <c r="F75" s="23">
        <f>SUM(G75:J75)</f>
        <v>0</v>
      </c>
      <c r="G75" s="23">
        <f>SUM(H75:L75)</f>
        <v>0</v>
      </c>
      <c r="H75" s="23">
        <f>SUM(I75:L75)</f>
        <v>0</v>
      </c>
      <c r="I75" s="23">
        <f>SUM(J75:M75)</f>
        <v>0</v>
      </c>
      <c r="J75" s="47">
        <f>SUM(L75:N75)</f>
        <v>0</v>
      </c>
      <c r="K75" s="244"/>
      <c r="L75" s="358"/>
    </row>
    <row r="76" spans="1:12" ht="12.75" customHeight="1" thickBot="1">
      <c r="A76" s="362"/>
      <c r="B76" s="365"/>
      <c r="C76" s="81" t="s">
        <v>11</v>
      </c>
      <c r="D76" s="368"/>
      <c r="E76" s="151">
        <f>SUM(F76:I76)</f>
        <v>111782397</v>
      </c>
      <c r="F76" s="26">
        <v>0</v>
      </c>
      <c r="G76" s="111">
        <v>30000000</v>
      </c>
      <c r="H76" s="26">
        <f>111782397-30000000</f>
        <v>81782397</v>
      </c>
      <c r="I76" s="26">
        <v>0</v>
      </c>
      <c r="J76" s="48"/>
      <c r="K76" s="246"/>
      <c r="L76" s="358"/>
    </row>
    <row r="77" spans="1:12" s="5" customFormat="1" ht="13.5" customHeight="1">
      <c r="A77" s="360" t="s">
        <v>104</v>
      </c>
      <c r="B77" s="363" t="s">
        <v>75</v>
      </c>
      <c r="C77" s="77" t="s">
        <v>8</v>
      </c>
      <c r="D77" s="366">
        <v>6000000</v>
      </c>
      <c r="E77" s="149">
        <f aca="true" t="shared" si="4" ref="E77:E103">SUM(F77:J77)</f>
        <v>0</v>
      </c>
      <c r="F77" s="18">
        <f>F80+F83</f>
        <v>0</v>
      </c>
      <c r="G77" s="18">
        <f>G80+G83</f>
        <v>0</v>
      </c>
      <c r="H77" s="18">
        <f>H80+H83</f>
        <v>0</v>
      </c>
      <c r="I77" s="18">
        <f>I80+I83</f>
        <v>0</v>
      </c>
      <c r="J77" s="20">
        <f>J80+J83</f>
        <v>0</v>
      </c>
      <c r="K77" s="378" t="s">
        <v>74</v>
      </c>
      <c r="L77" s="358"/>
    </row>
    <row r="78" spans="1:12" s="5" customFormat="1" ht="13.5" customHeight="1">
      <c r="A78" s="361"/>
      <c r="B78" s="364"/>
      <c r="C78" s="79" t="s">
        <v>10</v>
      </c>
      <c r="D78" s="367"/>
      <c r="E78" s="150">
        <f t="shared" si="4"/>
        <v>0</v>
      </c>
      <c r="F78" s="22">
        <v>0</v>
      </c>
      <c r="G78" s="22">
        <f aca="true" t="shared" si="5" ref="G78:J79">G81+G84</f>
        <v>0</v>
      </c>
      <c r="H78" s="22">
        <f t="shared" si="5"/>
        <v>0</v>
      </c>
      <c r="I78" s="22">
        <f t="shared" si="5"/>
        <v>0</v>
      </c>
      <c r="J78" s="24">
        <f t="shared" si="5"/>
        <v>0</v>
      </c>
      <c r="K78" s="379"/>
      <c r="L78" s="358"/>
    </row>
    <row r="79" spans="1:12" s="5" customFormat="1" ht="57" customHeight="1" thickBot="1">
      <c r="A79" s="362"/>
      <c r="B79" s="365"/>
      <c r="C79" s="81" t="s">
        <v>11</v>
      </c>
      <c r="D79" s="368"/>
      <c r="E79" s="151">
        <f t="shared" si="4"/>
        <v>0</v>
      </c>
      <c r="F79" s="22">
        <f>F82+F85</f>
        <v>0</v>
      </c>
      <c r="G79" s="22">
        <f t="shared" si="5"/>
        <v>0</v>
      </c>
      <c r="H79" s="25">
        <f t="shared" si="5"/>
        <v>0</v>
      </c>
      <c r="I79" s="25">
        <f t="shared" si="5"/>
        <v>0</v>
      </c>
      <c r="J79" s="27">
        <f t="shared" si="5"/>
        <v>0</v>
      </c>
      <c r="K79" s="379"/>
      <c r="L79" s="358"/>
    </row>
    <row r="80" spans="1:12" s="5" customFormat="1" ht="13.5" customHeight="1" hidden="1">
      <c r="A80" s="369"/>
      <c r="B80" s="372" t="s">
        <v>59</v>
      </c>
      <c r="C80" s="83" t="s">
        <v>8</v>
      </c>
      <c r="D80" s="375" t="s">
        <v>93</v>
      </c>
      <c r="E80" s="152">
        <f t="shared" si="4"/>
        <v>0</v>
      </c>
      <c r="F80" s="28">
        <v>0</v>
      </c>
      <c r="G80" s="28">
        <v>0</v>
      </c>
      <c r="H80" s="49">
        <v>0</v>
      </c>
      <c r="I80" s="28">
        <v>0</v>
      </c>
      <c r="J80" s="30">
        <v>0</v>
      </c>
      <c r="K80" s="238"/>
      <c r="L80" s="358"/>
    </row>
    <row r="81" spans="1:12" s="5" customFormat="1" ht="13.5" customHeight="1" hidden="1">
      <c r="A81" s="370"/>
      <c r="B81" s="373"/>
      <c r="C81" s="84" t="s">
        <v>10</v>
      </c>
      <c r="D81" s="376"/>
      <c r="E81" s="153">
        <f t="shared" si="4"/>
        <v>0</v>
      </c>
      <c r="F81" s="31">
        <v>0</v>
      </c>
      <c r="G81" s="31">
        <v>0</v>
      </c>
      <c r="H81" s="31">
        <v>0</v>
      </c>
      <c r="I81" s="31">
        <v>0</v>
      </c>
      <c r="J81" s="32">
        <v>0</v>
      </c>
      <c r="K81" s="238"/>
      <c r="L81" s="358"/>
    </row>
    <row r="82" spans="1:12" s="5" customFormat="1" ht="25.5" customHeight="1" hidden="1">
      <c r="A82" s="371"/>
      <c r="B82" s="374"/>
      <c r="C82" s="84" t="s">
        <v>11</v>
      </c>
      <c r="D82" s="377"/>
      <c r="E82" s="154">
        <f t="shared" si="4"/>
        <v>0</v>
      </c>
      <c r="F82" s="34">
        <v>0</v>
      </c>
      <c r="G82" s="34">
        <v>0</v>
      </c>
      <c r="H82" s="34">
        <v>0</v>
      </c>
      <c r="I82" s="34">
        <v>0</v>
      </c>
      <c r="J82" s="35">
        <v>0</v>
      </c>
      <c r="K82" s="238"/>
      <c r="L82" s="358"/>
    </row>
    <row r="83" spans="1:12" s="5" customFormat="1" ht="13.5" customHeight="1" hidden="1">
      <c r="A83" s="369"/>
      <c r="B83" s="372" t="s">
        <v>60</v>
      </c>
      <c r="C83" s="83" t="s">
        <v>8</v>
      </c>
      <c r="D83" s="375" t="s">
        <v>92</v>
      </c>
      <c r="E83" s="152">
        <f t="shared" si="4"/>
        <v>0</v>
      </c>
      <c r="F83" s="29">
        <v>0</v>
      </c>
      <c r="G83" s="29">
        <v>0</v>
      </c>
      <c r="H83" s="29">
        <v>0</v>
      </c>
      <c r="I83" s="28">
        <v>0</v>
      </c>
      <c r="J83" s="37">
        <v>0</v>
      </c>
      <c r="K83" s="238"/>
      <c r="L83" s="358"/>
    </row>
    <row r="84" spans="1:12" s="5" customFormat="1" ht="13.5" customHeight="1" hidden="1">
      <c r="A84" s="370"/>
      <c r="B84" s="373"/>
      <c r="C84" s="84" t="s">
        <v>10</v>
      </c>
      <c r="D84" s="376"/>
      <c r="E84" s="153">
        <f t="shared" si="4"/>
        <v>0</v>
      </c>
      <c r="F84" s="31">
        <v>0</v>
      </c>
      <c r="G84" s="31">
        <v>0</v>
      </c>
      <c r="H84" s="31">
        <v>0</v>
      </c>
      <c r="I84" s="31">
        <v>0</v>
      </c>
      <c r="J84" s="32">
        <v>0</v>
      </c>
      <c r="K84" s="238"/>
      <c r="L84" s="358"/>
    </row>
    <row r="85" spans="1:12" s="5" customFormat="1" ht="26.25" customHeight="1" hidden="1">
      <c r="A85" s="371"/>
      <c r="B85" s="374"/>
      <c r="C85" s="84" t="s">
        <v>11</v>
      </c>
      <c r="D85" s="377"/>
      <c r="E85" s="154">
        <f t="shared" si="4"/>
        <v>0</v>
      </c>
      <c r="F85" s="33">
        <v>0</v>
      </c>
      <c r="G85" s="33">
        <v>0</v>
      </c>
      <c r="H85" s="33">
        <v>0</v>
      </c>
      <c r="I85" s="33">
        <v>0</v>
      </c>
      <c r="J85" s="35">
        <v>0</v>
      </c>
      <c r="K85" s="238"/>
      <c r="L85" s="358"/>
    </row>
    <row r="86" spans="1:12" s="5" customFormat="1" ht="13.5" customHeight="1">
      <c r="A86" s="360" t="s">
        <v>105</v>
      </c>
      <c r="B86" s="363" t="s">
        <v>56</v>
      </c>
      <c r="C86" s="77" t="s">
        <v>8</v>
      </c>
      <c r="D86" s="366">
        <f>E86+E87+E88</f>
        <v>1197322</v>
      </c>
      <c r="E86" s="149">
        <f t="shared" si="4"/>
        <v>1197322</v>
      </c>
      <c r="F86" s="19">
        <v>0</v>
      </c>
      <c r="G86" s="18">
        <v>0</v>
      </c>
      <c r="H86" s="18">
        <v>0</v>
      </c>
      <c r="I86" s="18">
        <v>1197322</v>
      </c>
      <c r="J86" s="20">
        <v>0</v>
      </c>
      <c r="K86" s="243"/>
      <c r="L86" s="358"/>
    </row>
    <row r="87" spans="1:12" s="5" customFormat="1" ht="13.5" customHeight="1">
      <c r="A87" s="361"/>
      <c r="B87" s="364"/>
      <c r="C87" s="79" t="s">
        <v>10</v>
      </c>
      <c r="D87" s="367"/>
      <c r="E87" s="150">
        <f t="shared" si="4"/>
        <v>0</v>
      </c>
      <c r="F87" s="23">
        <v>0</v>
      </c>
      <c r="G87" s="22">
        <v>0</v>
      </c>
      <c r="H87" s="22">
        <v>0</v>
      </c>
      <c r="I87" s="22">
        <v>0</v>
      </c>
      <c r="J87" s="24">
        <v>0</v>
      </c>
      <c r="K87" s="244"/>
      <c r="L87" s="358"/>
    </row>
    <row r="88" spans="1:12" s="5" customFormat="1" ht="15.75" customHeight="1" thickBot="1">
      <c r="A88" s="362"/>
      <c r="B88" s="365"/>
      <c r="C88" s="81" t="s">
        <v>11</v>
      </c>
      <c r="D88" s="368"/>
      <c r="E88" s="151">
        <f t="shared" si="4"/>
        <v>0</v>
      </c>
      <c r="F88" s="110">
        <v>0</v>
      </c>
      <c r="G88" s="113">
        <v>0</v>
      </c>
      <c r="H88" s="113">
        <v>0</v>
      </c>
      <c r="I88" s="113">
        <v>0</v>
      </c>
      <c r="J88" s="120">
        <v>0</v>
      </c>
      <c r="K88" s="246"/>
      <c r="L88" s="358"/>
    </row>
    <row r="89" spans="1:12" s="5" customFormat="1" ht="13.5" customHeight="1">
      <c r="A89" s="360" t="s">
        <v>106</v>
      </c>
      <c r="B89" s="363" t="s">
        <v>53</v>
      </c>
      <c r="C89" s="77" t="s">
        <v>8</v>
      </c>
      <c r="D89" s="366">
        <v>73200</v>
      </c>
      <c r="E89" s="159">
        <f t="shared" si="4"/>
        <v>73241</v>
      </c>
      <c r="F89" s="144">
        <v>73241</v>
      </c>
      <c r="G89" s="121">
        <v>0</v>
      </c>
      <c r="H89" s="121">
        <v>0</v>
      </c>
      <c r="I89" s="121">
        <v>0</v>
      </c>
      <c r="J89" s="142">
        <v>0</v>
      </c>
      <c r="K89" s="243"/>
      <c r="L89" s="358"/>
    </row>
    <row r="90" spans="1:12" s="5" customFormat="1" ht="12.75">
      <c r="A90" s="361"/>
      <c r="B90" s="364"/>
      <c r="C90" s="79" t="s">
        <v>10</v>
      </c>
      <c r="D90" s="367"/>
      <c r="E90" s="160">
        <f t="shared" si="4"/>
        <v>61181</v>
      </c>
      <c r="F90" s="140">
        <v>0</v>
      </c>
      <c r="G90" s="23">
        <f>61181</f>
        <v>61181</v>
      </c>
      <c r="H90" s="23">
        <v>0</v>
      </c>
      <c r="I90" s="23">
        <v>0</v>
      </c>
      <c r="J90" s="47">
        <v>0</v>
      </c>
      <c r="K90" s="244"/>
      <c r="L90" s="358"/>
    </row>
    <row r="91" spans="1:13" s="5" customFormat="1" ht="13.5" thickBot="1">
      <c r="A91" s="362"/>
      <c r="B91" s="365"/>
      <c r="C91" s="81" t="s">
        <v>11</v>
      </c>
      <c r="D91" s="368"/>
      <c r="E91" s="165">
        <f t="shared" si="4"/>
        <v>0</v>
      </c>
      <c r="F91" s="145">
        <v>0</v>
      </c>
      <c r="G91" s="125">
        <v>0</v>
      </c>
      <c r="H91" s="270">
        <v>0</v>
      </c>
      <c r="I91" s="125">
        <v>0</v>
      </c>
      <c r="J91" s="143">
        <v>0</v>
      </c>
      <c r="K91" s="246"/>
      <c r="L91" s="358"/>
      <c r="M91" s="195"/>
    </row>
    <row r="92" spans="1:13" s="5" customFormat="1" ht="12.75" customHeight="1">
      <c r="A92" s="401" t="s">
        <v>107</v>
      </c>
      <c r="B92" s="404" t="s">
        <v>147</v>
      </c>
      <c r="C92" s="216" t="s">
        <v>8</v>
      </c>
      <c r="D92" s="407">
        <f>H92+H93</f>
        <v>246582</v>
      </c>
      <c r="E92" s="217"/>
      <c r="F92" s="218">
        <v>0</v>
      </c>
      <c r="G92" s="219">
        <v>0</v>
      </c>
      <c r="H92" s="335">
        <f>ROUND((246582)*5/100,2)</f>
        <v>12329.1</v>
      </c>
      <c r="I92" s="199">
        <v>0</v>
      </c>
      <c r="J92" s="142">
        <v>0</v>
      </c>
      <c r="K92" s="247"/>
      <c r="L92" s="358"/>
      <c r="M92" s="195"/>
    </row>
    <row r="93" spans="1:13" s="5" customFormat="1" ht="12.75">
      <c r="A93" s="402"/>
      <c r="B93" s="405"/>
      <c r="C93" s="220" t="s">
        <v>10</v>
      </c>
      <c r="D93" s="408"/>
      <c r="E93" s="217"/>
      <c r="F93" s="221">
        <v>0</v>
      </c>
      <c r="G93" s="222">
        <v>0</v>
      </c>
      <c r="H93" s="336">
        <f>ROUND((246582)*95/100,2)</f>
        <v>234252.9</v>
      </c>
      <c r="I93" s="200">
        <v>0</v>
      </c>
      <c r="J93" s="47">
        <v>0</v>
      </c>
      <c r="K93" s="248"/>
      <c r="L93" s="358"/>
      <c r="M93" s="279"/>
    </row>
    <row r="94" spans="1:14" s="5" customFormat="1" ht="13.5" thickBot="1">
      <c r="A94" s="403"/>
      <c r="B94" s="406"/>
      <c r="C94" s="223" t="s">
        <v>11</v>
      </c>
      <c r="D94" s="409"/>
      <c r="E94" s="217"/>
      <c r="F94" s="224">
        <v>0</v>
      </c>
      <c r="G94" s="225">
        <v>0</v>
      </c>
      <c r="H94" s="212">
        <v>0</v>
      </c>
      <c r="I94" s="201">
        <v>0</v>
      </c>
      <c r="J94" s="143">
        <v>0</v>
      </c>
      <c r="K94" s="249"/>
      <c r="L94" s="358"/>
      <c r="M94" s="279"/>
      <c r="N94" s="148"/>
    </row>
    <row r="95" spans="1:13" ht="13.5" customHeight="1">
      <c r="A95" s="410" t="s">
        <v>108</v>
      </c>
      <c r="B95" s="363" t="s">
        <v>64</v>
      </c>
      <c r="C95" s="77" t="s">
        <v>8</v>
      </c>
      <c r="D95" s="366">
        <f>E95+E96+E97</f>
        <v>6056950</v>
      </c>
      <c r="E95" s="159">
        <f t="shared" si="4"/>
        <v>302850</v>
      </c>
      <c r="F95" s="202">
        <v>0</v>
      </c>
      <c r="G95" s="202">
        <v>302850</v>
      </c>
      <c r="H95" s="198">
        <v>0</v>
      </c>
      <c r="I95" s="111">
        <v>0</v>
      </c>
      <c r="J95" s="146">
        <v>0</v>
      </c>
      <c r="K95" s="244"/>
      <c r="L95" s="358"/>
      <c r="M95" s="271"/>
    </row>
    <row r="96" spans="1:14" ht="12.75">
      <c r="A96" s="411"/>
      <c r="B96" s="364"/>
      <c r="C96" s="79" t="s">
        <v>10</v>
      </c>
      <c r="D96" s="367"/>
      <c r="E96" s="150">
        <f t="shared" si="4"/>
        <v>5754100</v>
      </c>
      <c r="F96" s="111">
        <v>0</v>
      </c>
      <c r="G96" s="111">
        <v>5754100</v>
      </c>
      <c r="H96" s="23">
        <v>0</v>
      </c>
      <c r="I96" s="23">
        <v>0</v>
      </c>
      <c r="J96" s="47">
        <v>0</v>
      </c>
      <c r="K96" s="244"/>
      <c r="L96" s="358"/>
      <c r="M96" s="271"/>
      <c r="N96" s="134"/>
    </row>
    <row r="97" spans="1:13" ht="13.5" customHeight="1" thickBot="1">
      <c r="A97" s="412"/>
      <c r="B97" s="365"/>
      <c r="C97" s="81" t="s">
        <v>11</v>
      </c>
      <c r="D97" s="368"/>
      <c r="E97" s="151">
        <f t="shared" si="4"/>
        <v>0</v>
      </c>
      <c r="F97" s="110">
        <v>0</v>
      </c>
      <c r="G97" s="110">
        <v>0</v>
      </c>
      <c r="H97" s="110">
        <v>0</v>
      </c>
      <c r="I97" s="110">
        <v>0</v>
      </c>
      <c r="J97" s="136">
        <v>0</v>
      </c>
      <c r="K97" s="245"/>
      <c r="L97" s="358"/>
      <c r="M97" s="271"/>
    </row>
    <row r="98" spans="1:13" ht="13.5" customHeight="1">
      <c r="A98" s="410" t="s">
        <v>109</v>
      </c>
      <c r="B98" s="363" t="s">
        <v>57</v>
      </c>
      <c r="C98" s="77" t="s">
        <v>8</v>
      </c>
      <c r="D98" s="366">
        <f>E98+E99+E100</f>
        <v>878000</v>
      </c>
      <c r="E98" s="159">
        <f t="shared" si="4"/>
        <v>878000</v>
      </c>
      <c r="F98" s="144">
        <v>0</v>
      </c>
      <c r="G98" s="121">
        <v>878000</v>
      </c>
      <c r="H98" s="121">
        <v>0</v>
      </c>
      <c r="I98" s="121">
        <v>0</v>
      </c>
      <c r="J98" s="142">
        <v>0</v>
      </c>
      <c r="K98" s="243"/>
      <c r="L98" s="358"/>
      <c r="M98" s="271"/>
    </row>
    <row r="99" spans="1:14" ht="13.5" customHeight="1">
      <c r="A99" s="411"/>
      <c r="B99" s="364"/>
      <c r="C99" s="79" t="s">
        <v>10</v>
      </c>
      <c r="D99" s="367"/>
      <c r="E99" s="160">
        <f t="shared" si="4"/>
        <v>0</v>
      </c>
      <c r="F99" s="140">
        <v>0</v>
      </c>
      <c r="G99" s="23">
        <v>0</v>
      </c>
      <c r="H99" s="23">
        <v>0</v>
      </c>
      <c r="I99" s="23">
        <v>0</v>
      </c>
      <c r="J99" s="47">
        <v>0</v>
      </c>
      <c r="K99" s="244"/>
      <c r="L99" s="358"/>
      <c r="M99" s="271"/>
      <c r="N99" s="134"/>
    </row>
    <row r="100" spans="1:13" ht="14.25" customHeight="1" thickBot="1">
      <c r="A100" s="412"/>
      <c r="B100" s="365"/>
      <c r="C100" s="81" t="s">
        <v>11</v>
      </c>
      <c r="D100" s="368"/>
      <c r="E100" s="165">
        <f t="shared" si="4"/>
        <v>0</v>
      </c>
      <c r="F100" s="145">
        <v>0</v>
      </c>
      <c r="G100" s="125">
        <v>0</v>
      </c>
      <c r="H100" s="125">
        <v>0</v>
      </c>
      <c r="I100" s="125">
        <v>0</v>
      </c>
      <c r="J100" s="143">
        <v>0</v>
      </c>
      <c r="K100" s="246"/>
      <c r="L100" s="358"/>
      <c r="M100" s="271"/>
    </row>
    <row r="101" spans="1:13" ht="13.5" customHeight="1" hidden="1">
      <c r="A101" s="410" t="s">
        <v>110</v>
      </c>
      <c r="B101" s="363" t="s">
        <v>58</v>
      </c>
      <c r="C101" s="77" t="s">
        <v>8</v>
      </c>
      <c r="D101" s="366">
        <f>E101+E102+E103</f>
        <v>0</v>
      </c>
      <c r="E101" s="149">
        <f t="shared" si="4"/>
        <v>0</v>
      </c>
      <c r="F101" s="115">
        <v>0</v>
      </c>
      <c r="G101" s="115">
        <v>0</v>
      </c>
      <c r="H101" s="115">
        <v>0</v>
      </c>
      <c r="I101" s="115">
        <v>0</v>
      </c>
      <c r="J101" s="147">
        <v>0</v>
      </c>
      <c r="K101" s="50"/>
      <c r="L101" s="358"/>
      <c r="M101" s="271"/>
    </row>
    <row r="102" spans="1:13" ht="13.5" customHeight="1" hidden="1">
      <c r="A102" s="411"/>
      <c r="B102" s="364"/>
      <c r="C102" s="79" t="s">
        <v>10</v>
      </c>
      <c r="D102" s="367"/>
      <c r="E102" s="150">
        <f t="shared" si="4"/>
        <v>0</v>
      </c>
      <c r="F102" s="22">
        <v>0</v>
      </c>
      <c r="G102" s="22">
        <v>0</v>
      </c>
      <c r="H102" s="18">
        <v>0</v>
      </c>
      <c r="I102" s="22">
        <v>0</v>
      </c>
      <c r="J102" s="51">
        <v>0</v>
      </c>
      <c r="K102" s="50"/>
      <c r="L102" s="358"/>
      <c r="M102" s="271"/>
    </row>
    <row r="103" spans="1:13" ht="13.5" customHeight="1" hidden="1">
      <c r="A103" s="412"/>
      <c r="B103" s="365"/>
      <c r="C103" s="81" t="s">
        <v>11</v>
      </c>
      <c r="D103" s="368"/>
      <c r="E103" s="151">
        <f t="shared" si="4"/>
        <v>0</v>
      </c>
      <c r="F103" s="22">
        <v>0</v>
      </c>
      <c r="G103" s="22">
        <v>0</v>
      </c>
      <c r="H103" s="18">
        <v>0</v>
      </c>
      <c r="I103" s="25">
        <v>0</v>
      </c>
      <c r="J103" s="52">
        <v>0</v>
      </c>
      <c r="K103" s="53"/>
      <c r="L103" s="358"/>
      <c r="M103" s="271"/>
    </row>
    <row r="104" spans="1:14" ht="13.5" customHeight="1">
      <c r="A104" s="410" t="s">
        <v>111</v>
      </c>
      <c r="B104" s="363" t="s">
        <v>61</v>
      </c>
      <c r="C104" s="77" t="s">
        <v>8</v>
      </c>
      <c r="D104" s="366">
        <v>2364000</v>
      </c>
      <c r="E104" s="149">
        <f>SUM(F104:J104)</f>
        <v>7742754.5</v>
      </c>
      <c r="F104" s="18">
        <v>0</v>
      </c>
      <c r="G104" s="18">
        <v>0</v>
      </c>
      <c r="H104" s="18">
        <v>0</v>
      </c>
      <c r="I104" s="18">
        <v>0</v>
      </c>
      <c r="J104" s="337">
        <v>7742754.5</v>
      </c>
      <c r="K104" s="378" t="s">
        <v>74</v>
      </c>
      <c r="L104" s="358"/>
      <c r="M104" s="271"/>
      <c r="N104" s="134"/>
    </row>
    <row r="105" spans="1:14" ht="13.5" customHeight="1">
      <c r="A105" s="411"/>
      <c r="B105" s="364"/>
      <c r="C105" s="79" t="s">
        <v>10</v>
      </c>
      <c r="D105" s="367"/>
      <c r="E105" s="150">
        <f>SUM(F105:J105)</f>
        <v>0</v>
      </c>
      <c r="F105" s="22">
        <v>0</v>
      </c>
      <c r="G105" s="22">
        <v>0</v>
      </c>
      <c r="H105" s="22">
        <v>0</v>
      </c>
      <c r="I105" s="22">
        <v>0</v>
      </c>
      <c r="J105" s="24">
        <v>0</v>
      </c>
      <c r="K105" s="379"/>
      <c r="L105" s="358"/>
      <c r="M105" s="271"/>
      <c r="N105" s="134"/>
    </row>
    <row r="106" spans="1:14" ht="58.5" customHeight="1" thickBot="1">
      <c r="A106" s="412"/>
      <c r="B106" s="365"/>
      <c r="C106" s="81" t="s">
        <v>11</v>
      </c>
      <c r="D106" s="368"/>
      <c r="E106" s="151">
        <f>SUM(F106:J106)</f>
        <v>0</v>
      </c>
      <c r="F106" s="22">
        <v>0</v>
      </c>
      <c r="G106" s="22">
        <v>0</v>
      </c>
      <c r="H106" s="25">
        <v>0</v>
      </c>
      <c r="I106" s="25">
        <v>0</v>
      </c>
      <c r="J106" s="27">
        <v>0</v>
      </c>
      <c r="K106" s="380"/>
      <c r="L106" s="358"/>
      <c r="M106" s="271"/>
      <c r="N106" s="134"/>
    </row>
    <row r="107" spans="1:14" ht="13.5" customHeight="1">
      <c r="A107" s="410" t="s">
        <v>112</v>
      </c>
      <c r="B107" s="363" t="s">
        <v>62</v>
      </c>
      <c r="C107" s="77" t="s">
        <v>8</v>
      </c>
      <c r="D107" s="366">
        <f>E107+E108+E109</f>
        <v>2500000</v>
      </c>
      <c r="E107" s="149">
        <f aca="true" t="shared" si="6" ref="E107:E163">SUM(F107:J107)</f>
        <v>2500000</v>
      </c>
      <c r="F107" s="18">
        <v>0</v>
      </c>
      <c r="G107" s="18">
        <v>0</v>
      </c>
      <c r="H107" s="18">
        <v>2500000</v>
      </c>
      <c r="I107" s="18">
        <v>0</v>
      </c>
      <c r="J107" s="20">
        <v>0</v>
      </c>
      <c r="K107" s="232"/>
      <c r="L107" s="358"/>
      <c r="M107" s="271"/>
      <c r="N107" s="134"/>
    </row>
    <row r="108" spans="1:13" ht="13.5" customHeight="1">
      <c r="A108" s="411"/>
      <c r="B108" s="364"/>
      <c r="C108" s="79" t="s">
        <v>10</v>
      </c>
      <c r="D108" s="367"/>
      <c r="E108" s="150">
        <f t="shared" si="6"/>
        <v>0</v>
      </c>
      <c r="F108" s="22">
        <v>0</v>
      </c>
      <c r="G108" s="22">
        <v>0</v>
      </c>
      <c r="H108" s="22">
        <v>0</v>
      </c>
      <c r="I108" s="22">
        <v>0</v>
      </c>
      <c r="J108" s="24">
        <v>0</v>
      </c>
      <c r="K108" s="233"/>
      <c r="L108" s="358"/>
      <c r="M108" s="271"/>
    </row>
    <row r="109" spans="1:13" ht="11.25" customHeight="1" thickBot="1">
      <c r="A109" s="412"/>
      <c r="B109" s="365"/>
      <c r="C109" s="81" t="s">
        <v>11</v>
      </c>
      <c r="D109" s="368"/>
      <c r="E109" s="151">
        <f t="shared" si="6"/>
        <v>0</v>
      </c>
      <c r="F109" s="22">
        <v>0</v>
      </c>
      <c r="G109" s="22">
        <v>0</v>
      </c>
      <c r="H109" s="25">
        <v>0</v>
      </c>
      <c r="I109" s="25">
        <v>0</v>
      </c>
      <c r="J109" s="27">
        <v>0</v>
      </c>
      <c r="K109" s="234"/>
      <c r="L109" s="358"/>
      <c r="M109" s="272"/>
    </row>
    <row r="110" spans="1:13" ht="13.5" customHeight="1">
      <c r="A110" s="410" t="s">
        <v>113</v>
      </c>
      <c r="B110" s="363" t="s">
        <v>63</v>
      </c>
      <c r="C110" s="77" t="s">
        <v>8</v>
      </c>
      <c r="D110" s="366">
        <f>E110+E111+E112</f>
        <v>2472193.89</v>
      </c>
      <c r="E110" s="149">
        <f t="shared" si="6"/>
        <v>2472193.89</v>
      </c>
      <c r="F110" s="18">
        <v>0</v>
      </c>
      <c r="G110" s="18">
        <v>0</v>
      </c>
      <c r="H110" s="18">
        <f>2000000+282100+119.89-99052.02+289026.02</f>
        <v>2472193.89</v>
      </c>
      <c r="I110" s="18">
        <v>0</v>
      </c>
      <c r="J110" s="20">
        <v>0</v>
      </c>
      <c r="K110" s="250"/>
      <c r="L110" s="358"/>
      <c r="M110" s="271"/>
    </row>
    <row r="111" spans="1:13" ht="13.5" customHeight="1">
      <c r="A111" s="411"/>
      <c r="B111" s="364"/>
      <c r="C111" s="79" t="s">
        <v>10</v>
      </c>
      <c r="D111" s="367"/>
      <c r="E111" s="150">
        <f t="shared" si="6"/>
        <v>0</v>
      </c>
      <c r="F111" s="22">
        <v>0</v>
      </c>
      <c r="G111" s="22">
        <v>0</v>
      </c>
      <c r="H111" s="22">
        <v>0</v>
      </c>
      <c r="I111" s="22">
        <v>0</v>
      </c>
      <c r="J111" s="24">
        <v>0</v>
      </c>
      <c r="K111" s="233"/>
      <c r="L111" s="358"/>
      <c r="M111" s="271"/>
    </row>
    <row r="112" spans="1:13" ht="11.25" customHeight="1" thickBot="1">
      <c r="A112" s="412"/>
      <c r="B112" s="365"/>
      <c r="C112" s="81" t="s">
        <v>11</v>
      </c>
      <c r="D112" s="368"/>
      <c r="E112" s="151">
        <f t="shared" si="6"/>
        <v>0</v>
      </c>
      <c r="F112" s="22">
        <v>0</v>
      </c>
      <c r="G112" s="22">
        <v>0</v>
      </c>
      <c r="H112" s="25">
        <v>0</v>
      </c>
      <c r="I112" s="25">
        <v>0</v>
      </c>
      <c r="J112" s="27">
        <v>0</v>
      </c>
      <c r="K112" s="234"/>
      <c r="L112" s="358"/>
      <c r="M112" s="271"/>
    </row>
    <row r="113" spans="1:13" ht="11.25" customHeight="1">
      <c r="A113" s="410" t="s">
        <v>114</v>
      </c>
      <c r="B113" s="413" t="s">
        <v>122</v>
      </c>
      <c r="C113" s="77" t="s">
        <v>8</v>
      </c>
      <c r="D113" s="416">
        <f>H113+H114</f>
        <v>930683.5800000001</v>
      </c>
      <c r="E113" s="149">
        <f t="shared" si="6"/>
        <v>46534.18</v>
      </c>
      <c r="F113" s="18">
        <v>0</v>
      </c>
      <c r="G113" s="18">
        <v>0</v>
      </c>
      <c r="H113" s="204">
        <f>ROUND((923922+6761.58)*5/100,2)</f>
        <v>46534.18</v>
      </c>
      <c r="I113" s="18">
        <v>0</v>
      </c>
      <c r="J113" s="20">
        <v>0</v>
      </c>
      <c r="K113" s="250"/>
      <c r="L113" s="358"/>
      <c r="M113" s="271"/>
    </row>
    <row r="114" spans="1:15" ht="11.25" customHeight="1">
      <c r="A114" s="411"/>
      <c r="B114" s="414"/>
      <c r="C114" s="79" t="s">
        <v>10</v>
      </c>
      <c r="D114" s="417"/>
      <c r="E114" s="150">
        <f t="shared" si="6"/>
        <v>884149.4</v>
      </c>
      <c r="F114" s="22">
        <v>0</v>
      </c>
      <c r="G114" s="22">
        <v>0</v>
      </c>
      <c r="H114" s="205">
        <f>ROUND((923922+6761.58)*95/100,2)</f>
        <v>884149.4</v>
      </c>
      <c r="I114" s="22">
        <v>0</v>
      </c>
      <c r="J114" s="24">
        <v>0</v>
      </c>
      <c r="K114" s="233"/>
      <c r="L114" s="358"/>
      <c r="M114" s="271"/>
      <c r="O114" s="134"/>
    </row>
    <row r="115" spans="1:15" ht="11.25" customHeight="1" thickBot="1">
      <c r="A115" s="412"/>
      <c r="B115" s="415"/>
      <c r="C115" s="81" t="s">
        <v>11</v>
      </c>
      <c r="D115" s="418"/>
      <c r="E115" s="151">
        <f t="shared" si="6"/>
        <v>0</v>
      </c>
      <c r="F115" s="22">
        <v>0</v>
      </c>
      <c r="G115" s="22">
        <v>0</v>
      </c>
      <c r="H115" s="211">
        <v>0</v>
      </c>
      <c r="I115" s="25">
        <v>0</v>
      </c>
      <c r="J115" s="27">
        <v>0</v>
      </c>
      <c r="K115" s="234"/>
      <c r="L115" s="358"/>
      <c r="M115" s="271"/>
      <c r="O115" s="134"/>
    </row>
    <row r="116" spans="1:17" ht="11.25" customHeight="1">
      <c r="A116" s="410" t="s">
        <v>115</v>
      </c>
      <c r="B116" s="413" t="s">
        <v>123</v>
      </c>
      <c r="C116" s="77" t="s">
        <v>8</v>
      </c>
      <c r="D116" s="416">
        <f>H116+H117</f>
        <v>266130.91</v>
      </c>
      <c r="E116" s="149">
        <f t="shared" si="6"/>
        <v>13306.55</v>
      </c>
      <c r="F116" s="18">
        <v>0</v>
      </c>
      <c r="G116" s="18">
        <v>0</v>
      </c>
      <c r="H116" s="204">
        <f>ROUND((263189+2941.9)*5/100,2)</f>
        <v>13306.55</v>
      </c>
      <c r="I116" s="18">
        <v>0</v>
      </c>
      <c r="J116" s="20">
        <v>0</v>
      </c>
      <c r="K116" s="250"/>
      <c r="L116" s="358"/>
      <c r="M116" s="271"/>
      <c r="N116" s="271"/>
      <c r="O116" s="271"/>
      <c r="P116" s="271"/>
      <c r="Q116" s="271"/>
    </row>
    <row r="117" spans="1:17" ht="11.25" customHeight="1">
      <c r="A117" s="411"/>
      <c r="B117" s="414"/>
      <c r="C117" s="79" t="s">
        <v>10</v>
      </c>
      <c r="D117" s="417"/>
      <c r="E117" s="150">
        <f t="shared" si="6"/>
        <v>252824.36</v>
      </c>
      <c r="F117" s="22">
        <v>0</v>
      </c>
      <c r="G117" s="22">
        <v>0</v>
      </c>
      <c r="H117" s="205">
        <f>ROUND((263189+2941.9)*95/100,2)</f>
        <v>252824.36</v>
      </c>
      <c r="I117" s="22">
        <v>0</v>
      </c>
      <c r="J117" s="24">
        <v>0</v>
      </c>
      <c r="K117" s="233"/>
      <c r="L117" s="358"/>
      <c r="M117" s="272"/>
      <c r="N117" s="272"/>
      <c r="O117" s="271"/>
      <c r="P117" s="271"/>
      <c r="Q117" s="271"/>
    </row>
    <row r="118" spans="1:17" ht="11.25" customHeight="1" thickBot="1">
      <c r="A118" s="412"/>
      <c r="B118" s="415"/>
      <c r="C118" s="81" t="s">
        <v>11</v>
      </c>
      <c r="D118" s="418"/>
      <c r="E118" s="151">
        <f t="shared" si="6"/>
        <v>0</v>
      </c>
      <c r="F118" s="22">
        <v>0</v>
      </c>
      <c r="G118" s="22">
        <v>0</v>
      </c>
      <c r="H118" s="211">
        <v>0</v>
      </c>
      <c r="I118" s="25">
        <v>0</v>
      </c>
      <c r="J118" s="27">
        <v>0</v>
      </c>
      <c r="K118" s="234"/>
      <c r="L118" s="358"/>
      <c r="M118" s="271"/>
      <c r="N118" s="272"/>
      <c r="O118" s="271"/>
      <c r="P118" s="271"/>
      <c r="Q118" s="271"/>
    </row>
    <row r="119" spans="1:17" ht="11.25" customHeight="1">
      <c r="A119" s="410" t="s">
        <v>116</v>
      </c>
      <c r="B119" s="413" t="s">
        <v>124</v>
      </c>
      <c r="C119" s="77" t="s">
        <v>8</v>
      </c>
      <c r="D119" s="416">
        <f>H119+H120</f>
        <v>288419.18</v>
      </c>
      <c r="E119" s="149">
        <f t="shared" si="6"/>
        <v>14420.96</v>
      </c>
      <c r="F119" s="18">
        <v>0</v>
      </c>
      <c r="G119" s="18">
        <v>0</v>
      </c>
      <c r="H119" s="204">
        <f>ROUND((281306+7113.18)*5/100,2)</f>
        <v>14420.96</v>
      </c>
      <c r="I119" s="18">
        <v>0</v>
      </c>
      <c r="J119" s="20">
        <v>0</v>
      </c>
      <c r="K119" s="250"/>
      <c r="L119" s="358"/>
      <c r="M119" s="271"/>
      <c r="N119" s="271"/>
      <c r="O119" s="271"/>
      <c r="P119" s="271"/>
      <c r="Q119" s="271"/>
    </row>
    <row r="120" spans="1:17" ht="11.25" customHeight="1">
      <c r="A120" s="411"/>
      <c r="B120" s="414"/>
      <c r="C120" s="79" t="s">
        <v>10</v>
      </c>
      <c r="D120" s="417"/>
      <c r="E120" s="150">
        <f t="shared" si="6"/>
        <v>273998.22</v>
      </c>
      <c r="F120" s="22">
        <v>0</v>
      </c>
      <c r="G120" s="22">
        <v>0</v>
      </c>
      <c r="H120" s="205">
        <f>ROUND((281306+7113.18)*95/100,2)</f>
        <v>273998.22</v>
      </c>
      <c r="I120" s="22">
        <v>0</v>
      </c>
      <c r="J120" s="24">
        <v>0</v>
      </c>
      <c r="K120" s="233"/>
      <c r="L120" s="358"/>
      <c r="M120" s="272"/>
      <c r="N120" s="272"/>
      <c r="O120" s="271"/>
      <c r="P120" s="271"/>
      <c r="Q120" s="271"/>
    </row>
    <row r="121" spans="1:17" ht="11.25" customHeight="1" thickBot="1">
      <c r="A121" s="412"/>
      <c r="B121" s="415"/>
      <c r="C121" s="81" t="s">
        <v>11</v>
      </c>
      <c r="D121" s="418"/>
      <c r="E121" s="151">
        <f t="shared" si="6"/>
        <v>0</v>
      </c>
      <c r="F121" s="22">
        <v>0</v>
      </c>
      <c r="G121" s="22">
        <v>0</v>
      </c>
      <c r="H121" s="211">
        <v>0</v>
      </c>
      <c r="I121" s="25">
        <v>0</v>
      </c>
      <c r="J121" s="27">
        <v>0</v>
      </c>
      <c r="K121" s="234"/>
      <c r="L121" s="358"/>
      <c r="M121" s="271"/>
      <c r="N121" s="271"/>
      <c r="O121" s="271"/>
      <c r="P121" s="271"/>
      <c r="Q121" s="271"/>
    </row>
    <row r="122" spans="1:17" ht="11.25" customHeight="1">
      <c r="A122" s="410" t="s">
        <v>117</v>
      </c>
      <c r="B122" s="413" t="s">
        <v>125</v>
      </c>
      <c r="C122" s="77" t="s">
        <v>8</v>
      </c>
      <c r="D122" s="416">
        <f>H122+H123</f>
        <v>2424339.15</v>
      </c>
      <c r="E122" s="149">
        <f t="shared" si="6"/>
        <v>121216.96</v>
      </c>
      <c r="F122" s="18">
        <v>0</v>
      </c>
      <c r="G122" s="18">
        <v>0</v>
      </c>
      <c r="H122" s="204">
        <f>ROUND((2379271.6+45067.55)*5/100,2)</f>
        <v>121216.96</v>
      </c>
      <c r="I122" s="18">
        <v>0</v>
      </c>
      <c r="J122" s="20">
        <v>0</v>
      </c>
      <c r="K122" s="250"/>
      <c r="L122" s="358"/>
      <c r="M122" s="271"/>
      <c r="N122" s="271"/>
      <c r="O122" s="271"/>
      <c r="P122" s="271"/>
      <c r="Q122" s="271"/>
    </row>
    <row r="123" spans="1:17" ht="11.25" customHeight="1">
      <c r="A123" s="411"/>
      <c r="B123" s="414"/>
      <c r="C123" s="79" t="s">
        <v>10</v>
      </c>
      <c r="D123" s="417"/>
      <c r="E123" s="150">
        <f t="shared" si="6"/>
        <v>2303122.19</v>
      </c>
      <c r="F123" s="22">
        <v>0</v>
      </c>
      <c r="G123" s="22">
        <v>0</v>
      </c>
      <c r="H123" s="205">
        <f>ROUND((2379271.6+45067.55)*95/100,2)</f>
        <v>2303122.19</v>
      </c>
      <c r="I123" s="22">
        <v>0</v>
      </c>
      <c r="J123" s="24">
        <v>0</v>
      </c>
      <c r="K123" s="233"/>
      <c r="L123" s="358"/>
      <c r="M123" s="271"/>
      <c r="N123" s="271"/>
      <c r="O123" s="272"/>
      <c r="P123" s="271"/>
      <c r="Q123" s="271"/>
    </row>
    <row r="124" spans="1:17" s="191" customFormat="1" ht="11.25" customHeight="1" thickBot="1">
      <c r="A124" s="412"/>
      <c r="B124" s="415"/>
      <c r="C124" s="185" t="s">
        <v>11</v>
      </c>
      <c r="D124" s="418"/>
      <c r="E124" s="186">
        <f t="shared" si="6"/>
        <v>0</v>
      </c>
      <c r="F124" s="187">
        <v>0</v>
      </c>
      <c r="G124" s="187">
        <v>0</v>
      </c>
      <c r="H124" s="206">
        <v>0</v>
      </c>
      <c r="I124" s="188">
        <v>0</v>
      </c>
      <c r="J124" s="189">
        <v>0</v>
      </c>
      <c r="K124" s="251"/>
      <c r="L124" s="358"/>
      <c r="M124" s="274"/>
      <c r="N124" s="273"/>
      <c r="O124" s="273"/>
      <c r="P124" s="274"/>
      <c r="Q124" s="274"/>
    </row>
    <row r="125" spans="1:17" s="191" customFormat="1" ht="11.25" customHeight="1">
      <c r="A125" s="410" t="s">
        <v>118</v>
      </c>
      <c r="B125" s="413" t="s">
        <v>127</v>
      </c>
      <c r="C125" s="77" t="s">
        <v>8</v>
      </c>
      <c r="D125" s="416">
        <f>H125+H126</f>
        <v>315512.44</v>
      </c>
      <c r="E125" s="149">
        <f t="shared" si="6"/>
        <v>15775.62</v>
      </c>
      <c r="F125" s="18">
        <v>0</v>
      </c>
      <c r="G125" s="18">
        <v>0</v>
      </c>
      <c r="H125" s="204">
        <f>ROUND((308315+7197.44)*5/100,2)</f>
        <v>15775.62</v>
      </c>
      <c r="I125" s="18">
        <v>0</v>
      </c>
      <c r="J125" s="20">
        <v>0</v>
      </c>
      <c r="K125" s="250"/>
      <c r="L125" s="358"/>
      <c r="M125" s="274"/>
      <c r="N125" s="274"/>
      <c r="O125" s="274"/>
      <c r="P125" s="274"/>
      <c r="Q125" s="274"/>
    </row>
    <row r="126" spans="1:17" s="191" customFormat="1" ht="11.25" customHeight="1">
      <c r="A126" s="411"/>
      <c r="B126" s="414"/>
      <c r="C126" s="79" t="s">
        <v>10</v>
      </c>
      <c r="D126" s="417"/>
      <c r="E126" s="150">
        <f t="shared" si="6"/>
        <v>299736.82</v>
      </c>
      <c r="F126" s="22">
        <v>0</v>
      </c>
      <c r="G126" s="22">
        <v>0</v>
      </c>
      <c r="H126" s="205">
        <f>ROUND((308315+7197.44)*95/100,2)</f>
        <v>299736.82</v>
      </c>
      <c r="I126" s="22">
        <v>0</v>
      </c>
      <c r="J126" s="24">
        <v>0</v>
      </c>
      <c r="K126" s="233"/>
      <c r="L126" s="358"/>
      <c r="M126" s="274"/>
      <c r="N126" s="273"/>
      <c r="O126" s="274"/>
      <c r="P126" s="274"/>
      <c r="Q126" s="274"/>
    </row>
    <row r="127" spans="1:17" ht="11.25" customHeight="1" thickBot="1">
      <c r="A127" s="412"/>
      <c r="B127" s="415"/>
      <c r="C127" s="185" t="s">
        <v>11</v>
      </c>
      <c r="D127" s="418"/>
      <c r="E127" s="186">
        <f t="shared" si="6"/>
        <v>0</v>
      </c>
      <c r="F127" s="187">
        <v>0</v>
      </c>
      <c r="G127" s="187">
        <v>0</v>
      </c>
      <c r="H127" s="206">
        <v>0</v>
      </c>
      <c r="I127" s="188">
        <v>0</v>
      </c>
      <c r="J127" s="189">
        <v>0</v>
      </c>
      <c r="K127" s="251"/>
      <c r="L127" s="358"/>
      <c r="M127" s="272"/>
      <c r="N127" s="272"/>
      <c r="O127" s="272"/>
      <c r="P127" s="272"/>
      <c r="Q127" s="271"/>
    </row>
    <row r="128" spans="1:17" ht="11.25" customHeight="1">
      <c r="A128" s="410" t="s">
        <v>119</v>
      </c>
      <c r="B128" s="413" t="s">
        <v>128</v>
      </c>
      <c r="C128" s="77" t="s">
        <v>8</v>
      </c>
      <c r="D128" s="416">
        <f>H128+H129</f>
        <v>295443.29</v>
      </c>
      <c r="E128" s="149">
        <f t="shared" si="6"/>
        <v>14772.16</v>
      </c>
      <c r="F128" s="18">
        <v>0</v>
      </c>
      <c r="G128" s="18">
        <v>0</v>
      </c>
      <c r="H128" s="204">
        <f>ROUND((292634+2809.29)*5/100,2)</f>
        <v>14772.16</v>
      </c>
      <c r="I128" s="18">
        <v>0</v>
      </c>
      <c r="J128" s="20">
        <v>0</v>
      </c>
      <c r="K128" s="250"/>
      <c r="L128" s="358"/>
      <c r="M128" s="272"/>
      <c r="N128" s="272"/>
      <c r="O128" s="271"/>
      <c r="P128" s="271"/>
      <c r="Q128" s="271"/>
    </row>
    <row r="129" spans="1:17" ht="11.25" customHeight="1">
      <c r="A129" s="411"/>
      <c r="B129" s="414"/>
      <c r="C129" s="79" t="s">
        <v>10</v>
      </c>
      <c r="D129" s="417"/>
      <c r="E129" s="150">
        <f t="shared" si="6"/>
        <v>280671.13</v>
      </c>
      <c r="F129" s="22">
        <v>0</v>
      </c>
      <c r="G129" s="22">
        <v>0</v>
      </c>
      <c r="H129" s="205">
        <f>ROUND((292634+2809.29)*95/100,2)</f>
        <v>280671.13</v>
      </c>
      <c r="I129" s="22">
        <v>0</v>
      </c>
      <c r="J129" s="24">
        <v>0</v>
      </c>
      <c r="K129" s="233"/>
      <c r="L129" s="358"/>
      <c r="M129" s="271"/>
      <c r="N129" s="271"/>
      <c r="O129" s="271"/>
      <c r="P129" s="272"/>
      <c r="Q129" s="271"/>
    </row>
    <row r="130" spans="1:17" ht="11.25" customHeight="1" thickBot="1">
      <c r="A130" s="412"/>
      <c r="B130" s="415"/>
      <c r="C130" s="185" t="s">
        <v>11</v>
      </c>
      <c r="D130" s="418"/>
      <c r="E130" s="186">
        <f t="shared" si="6"/>
        <v>0</v>
      </c>
      <c r="F130" s="187">
        <v>0</v>
      </c>
      <c r="G130" s="187">
        <v>0</v>
      </c>
      <c r="H130" s="206">
        <v>0</v>
      </c>
      <c r="I130" s="188">
        <v>0</v>
      </c>
      <c r="J130" s="189">
        <v>0</v>
      </c>
      <c r="K130" s="251"/>
      <c r="L130" s="358"/>
      <c r="M130" s="271"/>
      <c r="N130" s="272"/>
      <c r="O130" s="271"/>
      <c r="P130" s="271"/>
      <c r="Q130" s="271"/>
    </row>
    <row r="131" spans="1:17" ht="11.25" customHeight="1">
      <c r="A131" s="410" t="s">
        <v>131</v>
      </c>
      <c r="B131" s="413" t="s">
        <v>130</v>
      </c>
      <c r="C131" s="77" t="s">
        <v>8</v>
      </c>
      <c r="D131" s="416">
        <f>H131+H132</f>
        <v>78077</v>
      </c>
      <c r="E131" s="149">
        <f>SUM(F131:J131)</f>
        <v>3903.85</v>
      </c>
      <c r="F131" s="18">
        <v>0</v>
      </c>
      <c r="G131" s="18">
        <v>0</v>
      </c>
      <c r="H131" s="204">
        <f>ROUND((76977+1100)*5/100,2)</f>
        <v>3903.85</v>
      </c>
      <c r="I131" s="18">
        <v>0</v>
      </c>
      <c r="J131" s="20">
        <v>0</v>
      </c>
      <c r="K131" s="250"/>
      <c r="L131" s="358"/>
      <c r="M131" s="271"/>
      <c r="N131" s="271"/>
      <c r="O131" s="271"/>
      <c r="P131" s="271"/>
      <c r="Q131" s="271"/>
    </row>
    <row r="132" spans="1:17" ht="11.25" customHeight="1">
      <c r="A132" s="411"/>
      <c r="B132" s="414"/>
      <c r="C132" s="79" t="s">
        <v>10</v>
      </c>
      <c r="D132" s="417"/>
      <c r="E132" s="150">
        <f>SUM(F132:J132)</f>
        <v>74173.15</v>
      </c>
      <c r="F132" s="22">
        <v>0</v>
      </c>
      <c r="G132" s="22">
        <v>0</v>
      </c>
      <c r="H132" s="205">
        <f>ROUND((76977+1100)*95/100,2)</f>
        <v>74173.15</v>
      </c>
      <c r="I132" s="22">
        <v>0</v>
      </c>
      <c r="J132" s="24">
        <v>0</v>
      </c>
      <c r="K132" s="233"/>
      <c r="L132" s="358"/>
      <c r="M132" s="271"/>
      <c r="N132" s="271"/>
      <c r="O132" s="272"/>
      <c r="P132" s="271"/>
      <c r="Q132" s="271"/>
    </row>
    <row r="133" spans="1:17" ht="11.25" customHeight="1" thickBot="1">
      <c r="A133" s="412"/>
      <c r="B133" s="415"/>
      <c r="C133" s="185" t="s">
        <v>11</v>
      </c>
      <c r="D133" s="418"/>
      <c r="E133" s="186">
        <f>SUM(F133:J133)</f>
        <v>0</v>
      </c>
      <c r="F133" s="187">
        <v>0</v>
      </c>
      <c r="G133" s="187">
        <v>0</v>
      </c>
      <c r="H133" s="206">
        <v>0</v>
      </c>
      <c r="I133" s="188">
        <v>0</v>
      </c>
      <c r="J133" s="189">
        <v>0</v>
      </c>
      <c r="K133" s="251"/>
      <c r="L133" s="358"/>
      <c r="M133" s="271"/>
      <c r="N133" s="271"/>
      <c r="O133" s="271"/>
      <c r="P133" s="271"/>
      <c r="Q133" s="271"/>
    </row>
    <row r="134" spans="1:17" ht="11.25" customHeight="1">
      <c r="A134" s="410" t="s">
        <v>132</v>
      </c>
      <c r="B134" s="413" t="s">
        <v>126</v>
      </c>
      <c r="C134" s="77" t="s">
        <v>8</v>
      </c>
      <c r="D134" s="416">
        <f>H134+H135</f>
        <v>848300.9600000001</v>
      </c>
      <c r="E134" s="149">
        <f t="shared" si="6"/>
        <v>42415.05</v>
      </c>
      <c r="F134" s="18">
        <v>0</v>
      </c>
      <c r="G134" s="18">
        <v>0</v>
      </c>
      <c r="H134" s="204">
        <f>ROUND((835935+12365.96)*5/100,2)</f>
        <v>42415.05</v>
      </c>
      <c r="I134" s="18">
        <v>0</v>
      </c>
      <c r="J134" s="20">
        <v>0</v>
      </c>
      <c r="K134" s="250"/>
      <c r="L134" s="358"/>
      <c r="M134" s="271"/>
      <c r="N134" s="271"/>
      <c r="O134" s="271"/>
      <c r="P134" s="271"/>
      <c r="Q134" s="271"/>
    </row>
    <row r="135" spans="1:17" ht="11.25" customHeight="1">
      <c r="A135" s="411"/>
      <c r="B135" s="414"/>
      <c r="C135" s="79" t="s">
        <v>10</v>
      </c>
      <c r="D135" s="417"/>
      <c r="E135" s="150">
        <f t="shared" si="6"/>
        <v>805885.91</v>
      </c>
      <c r="F135" s="22">
        <v>0</v>
      </c>
      <c r="G135" s="22">
        <v>0</v>
      </c>
      <c r="H135" s="205">
        <f>ROUND((835935+12365.96)*95/100,2)</f>
        <v>805885.91</v>
      </c>
      <c r="I135" s="22">
        <v>0</v>
      </c>
      <c r="J135" s="24">
        <v>0</v>
      </c>
      <c r="K135" s="233"/>
      <c r="L135" s="358"/>
      <c r="M135" s="271"/>
      <c r="N135" s="271"/>
      <c r="O135" s="271"/>
      <c r="P135" s="271"/>
      <c r="Q135" s="271"/>
    </row>
    <row r="136" spans="1:17" ht="11.25" customHeight="1" thickBot="1">
      <c r="A136" s="412"/>
      <c r="B136" s="415"/>
      <c r="C136" s="185" t="s">
        <v>11</v>
      </c>
      <c r="D136" s="418"/>
      <c r="E136" s="186">
        <f t="shared" si="6"/>
        <v>0</v>
      </c>
      <c r="F136" s="187">
        <v>0</v>
      </c>
      <c r="G136" s="187">
        <v>0</v>
      </c>
      <c r="H136" s="206">
        <v>0</v>
      </c>
      <c r="I136" s="188">
        <v>0</v>
      </c>
      <c r="J136" s="309">
        <v>0</v>
      </c>
      <c r="K136" s="251"/>
      <c r="L136" s="358"/>
      <c r="M136" s="271"/>
      <c r="N136" s="271"/>
      <c r="O136" s="271"/>
      <c r="P136" s="271"/>
      <c r="Q136" s="271"/>
    </row>
    <row r="137" spans="1:17" ht="11.25" customHeight="1">
      <c r="A137" s="410" t="s">
        <v>133</v>
      </c>
      <c r="B137" s="413" t="s">
        <v>137</v>
      </c>
      <c r="C137" s="77" t="s">
        <v>8</v>
      </c>
      <c r="D137" s="416">
        <f>H137+H138</f>
        <v>795050.86</v>
      </c>
      <c r="E137" s="203"/>
      <c r="F137" s="18">
        <v>0</v>
      </c>
      <c r="G137" s="18">
        <v>0</v>
      </c>
      <c r="H137" s="336">
        <f>ROUND((1301329.66-246582-390816.02)*5/100+3102.38,2)</f>
        <v>36298.96</v>
      </c>
      <c r="I137" s="252">
        <v>0</v>
      </c>
      <c r="J137" s="21">
        <v>0</v>
      </c>
      <c r="K137" s="306"/>
      <c r="L137" s="358"/>
      <c r="M137" s="271"/>
      <c r="N137" s="271"/>
      <c r="O137" s="271"/>
      <c r="P137" s="271"/>
      <c r="Q137" s="271"/>
    </row>
    <row r="138" spans="1:17" ht="11.25" customHeight="1">
      <c r="A138" s="411"/>
      <c r="B138" s="414"/>
      <c r="C138" s="79" t="s">
        <v>10</v>
      </c>
      <c r="D138" s="417"/>
      <c r="E138" s="203"/>
      <c r="F138" s="22">
        <v>0</v>
      </c>
      <c r="G138" s="22">
        <v>0</v>
      </c>
      <c r="H138" s="336">
        <f>ROUND((1301329.66-246582-390816.02)*95/100+13999.6+60312.22+53705.02,2)</f>
        <v>758751.9</v>
      </c>
      <c r="I138" s="253">
        <v>0</v>
      </c>
      <c r="J138" s="321">
        <v>0</v>
      </c>
      <c r="K138" s="307"/>
      <c r="L138" s="358"/>
      <c r="M138" s="271"/>
      <c r="N138" s="271"/>
      <c r="O138" s="271"/>
      <c r="P138" s="271"/>
      <c r="Q138" s="271"/>
    </row>
    <row r="139" spans="1:17" ht="11.25" customHeight="1" thickBot="1">
      <c r="A139" s="412"/>
      <c r="B139" s="415"/>
      <c r="C139" s="185" t="s">
        <v>11</v>
      </c>
      <c r="D139" s="417"/>
      <c r="E139" s="203"/>
      <c r="F139" s="294">
        <v>0</v>
      </c>
      <c r="G139" s="294">
        <v>0</v>
      </c>
      <c r="H139" s="338">
        <v>0</v>
      </c>
      <c r="I139" s="254">
        <v>0</v>
      </c>
      <c r="J139" s="314">
        <v>0</v>
      </c>
      <c r="K139" s="308"/>
      <c r="L139" s="358"/>
      <c r="M139" s="271"/>
      <c r="N139" s="271"/>
      <c r="O139" s="271"/>
      <c r="P139" s="271"/>
      <c r="Q139" s="271"/>
    </row>
    <row r="140" spans="1:17" ht="11.25" customHeight="1">
      <c r="A140" s="410" t="s">
        <v>138</v>
      </c>
      <c r="B140" s="413" t="s">
        <v>136</v>
      </c>
      <c r="C140" s="78" t="s">
        <v>8</v>
      </c>
      <c r="D140" s="419">
        <f>H140+H141</f>
        <v>390816.01999999996</v>
      </c>
      <c r="E140" s="297"/>
      <c r="F140" s="122">
        <v>0</v>
      </c>
      <c r="G140" s="122">
        <v>0</v>
      </c>
      <c r="H140" s="335">
        <f>ROUND((390816.02)*5/100,2)</f>
        <v>19540.8</v>
      </c>
      <c r="I140" s="252">
        <v>0</v>
      </c>
      <c r="J140" s="21">
        <v>0</v>
      </c>
      <c r="K140" s="306"/>
      <c r="L140" s="358"/>
      <c r="M140" s="271"/>
      <c r="N140" s="271"/>
      <c r="O140" s="271"/>
      <c r="P140" s="271"/>
      <c r="Q140" s="271"/>
    </row>
    <row r="141" spans="1:17" ht="11.25" customHeight="1">
      <c r="A141" s="411"/>
      <c r="B141" s="414"/>
      <c r="C141" s="80" t="s">
        <v>10</v>
      </c>
      <c r="D141" s="420"/>
      <c r="E141" s="203"/>
      <c r="F141" s="22">
        <v>0</v>
      </c>
      <c r="G141" s="22">
        <v>0</v>
      </c>
      <c r="H141" s="336">
        <f>ROUND((390816.02)*95/100,2)</f>
        <v>371275.22</v>
      </c>
      <c r="I141" s="253">
        <v>0</v>
      </c>
      <c r="J141" s="321">
        <v>0</v>
      </c>
      <c r="K141" s="307"/>
      <c r="L141" s="358"/>
      <c r="M141" s="271"/>
      <c r="N141" s="271"/>
      <c r="O141" s="271"/>
      <c r="P141" s="271"/>
      <c r="Q141" s="271"/>
    </row>
    <row r="142" spans="1:17" ht="11.25" customHeight="1" thickBot="1">
      <c r="A142" s="411"/>
      <c r="B142" s="414"/>
      <c r="C142" s="282" t="s">
        <v>11</v>
      </c>
      <c r="D142" s="421"/>
      <c r="E142" s="298"/>
      <c r="F142" s="302">
        <v>0</v>
      </c>
      <c r="G142" s="299">
        <v>0</v>
      </c>
      <c r="H142" s="300">
        <v>0</v>
      </c>
      <c r="I142" s="323">
        <v>0</v>
      </c>
      <c r="J142" s="314">
        <v>0</v>
      </c>
      <c r="K142" s="308"/>
      <c r="L142" s="358"/>
      <c r="M142" s="271"/>
      <c r="N142" s="271"/>
      <c r="O142" s="271"/>
      <c r="P142" s="271"/>
      <c r="Q142" s="271"/>
    </row>
    <row r="143" spans="1:17" ht="11.25" customHeight="1">
      <c r="A143" s="284"/>
      <c r="B143" s="430" t="s">
        <v>151</v>
      </c>
      <c r="C143" s="285" t="s">
        <v>8</v>
      </c>
      <c r="D143" s="303"/>
      <c r="E143" s="301"/>
      <c r="F143" s="324">
        <v>0</v>
      </c>
      <c r="G143" s="21">
        <v>0</v>
      </c>
      <c r="H143" s="339">
        <v>0</v>
      </c>
      <c r="I143" s="21">
        <v>18321.05</v>
      </c>
      <c r="J143" s="21">
        <v>0</v>
      </c>
      <c r="K143" s="319"/>
      <c r="L143" s="358"/>
      <c r="M143" s="271"/>
      <c r="N143" s="271"/>
      <c r="O143" s="271"/>
      <c r="P143" s="271"/>
      <c r="Q143" s="271"/>
    </row>
    <row r="144" spans="1:17" ht="11.25" customHeight="1">
      <c r="A144" s="284"/>
      <c r="B144" s="431"/>
      <c r="C144" s="286" t="s">
        <v>10</v>
      </c>
      <c r="D144" s="304">
        <f>I143+I144</f>
        <v>366421.05</v>
      </c>
      <c r="E144" s="301"/>
      <c r="F144" s="325">
        <v>0</v>
      </c>
      <c r="G144" s="321">
        <v>0</v>
      </c>
      <c r="H144" s="321">
        <v>0</v>
      </c>
      <c r="I144" s="321">
        <v>348100</v>
      </c>
      <c r="J144" s="321">
        <v>0</v>
      </c>
      <c r="K144" s="138"/>
      <c r="L144" s="358"/>
      <c r="M144" s="271"/>
      <c r="N144" s="271"/>
      <c r="O144" s="271"/>
      <c r="P144" s="271"/>
      <c r="Q144" s="271"/>
    </row>
    <row r="145" spans="1:17" ht="11.25" customHeight="1" thickBot="1">
      <c r="A145" s="284"/>
      <c r="B145" s="432"/>
      <c r="C145" s="287" t="s">
        <v>11</v>
      </c>
      <c r="D145" s="305"/>
      <c r="E145" s="301"/>
      <c r="F145" s="326">
        <v>0</v>
      </c>
      <c r="G145" s="322">
        <v>0</v>
      </c>
      <c r="H145" s="322">
        <v>0</v>
      </c>
      <c r="I145" s="322">
        <v>0</v>
      </c>
      <c r="J145" s="322">
        <v>0</v>
      </c>
      <c r="K145" s="320"/>
      <c r="L145" s="358"/>
      <c r="M145" s="271"/>
      <c r="N145" s="271"/>
      <c r="O145" s="271"/>
      <c r="P145" s="271"/>
      <c r="Q145" s="271"/>
    </row>
    <row r="146" spans="1:17" ht="11.25" customHeight="1">
      <c r="A146" s="288"/>
      <c r="B146" s="496" t="s">
        <v>148</v>
      </c>
      <c r="C146" s="285" t="s">
        <v>8</v>
      </c>
      <c r="D146" s="499">
        <v>660000</v>
      </c>
      <c r="E146" s="301"/>
      <c r="F146" s="312">
        <v>0</v>
      </c>
      <c r="G146" s="312">
        <v>0</v>
      </c>
      <c r="H146" s="315">
        <v>0</v>
      </c>
      <c r="I146" s="315">
        <v>0</v>
      </c>
      <c r="J146" s="20">
        <v>0</v>
      </c>
      <c r="K146" s="312"/>
      <c r="L146" s="359"/>
      <c r="M146" s="271"/>
      <c r="N146" s="271"/>
      <c r="O146" s="271"/>
      <c r="P146" s="271"/>
      <c r="Q146" s="271"/>
    </row>
    <row r="147" spans="1:17" ht="11.25" customHeight="1">
      <c r="A147" s="289" t="s">
        <v>139</v>
      </c>
      <c r="B147" s="496"/>
      <c r="C147" s="286" t="s">
        <v>10</v>
      </c>
      <c r="D147" s="500"/>
      <c r="E147" s="301"/>
      <c r="F147" s="313">
        <v>0</v>
      </c>
      <c r="G147" s="313">
        <v>0</v>
      </c>
      <c r="H147" s="316">
        <v>0</v>
      </c>
      <c r="I147" s="316">
        <v>0</v>
      </c>
      <c r="J147" s="24">
        <v>0</v>
      </c>
      <c r="K147" s="318"/>
      <c r="L147" s="359"/>
      <c r="M147" s="271"/>
      <c r="N147" s="271"/>
      <c r="O147" s="271"/>
      <c r="P147" s="271"/>
      <c r="Q147" s="271"/>
    </row>
    <row r="148" spans="1:17" ht="11.25" customHeight="1" thickBot="1">
      <c r="A148" s="290"/>
      <c r="B148" s="497"/>
      <c r="C148" s="287" t="s">
        <v>11</v>
      </c>
      <c r="D148" s="501"/>
      <c r="E148" s="301"/>
      <c r="F148" s="314">
        <v>0</v>
      </c>
      <c r="G148" s="314">
        <v>0</v>
      </c>
      <c r="H148" s="317">
        <v>0</v>
      </c>
      <c r="I148" s="317">
        <v>0</v>
      </c>
      <c r="J148" s="309">
        <v>0</v>
      </c>
      <c r="K148" s="190"/>
      <c r="L148" s="359"/>
      <c r="M148" s="271"/>
      <c r="N148" s="271"/>
      <c r="O148" s="271"/>
      <c r="P148" s="271"/>
      <c r="Q148" s="271"/>
    </row>
    <row r="149" spans="1:17" ht="11.25" customHeight="1">
      <c r="A149" s="493" t="s">
        <v>140</v>
      </c>
      <c r="B149" s="493" t="s">
        <v>149</v>
      </c>
      <c r="C149" s="285" t="s">
        <v>8</v>
      </c>
      <c r="D149" s="303"/>
      <c r="E149" s="301"/>
      <c r="F149" s="312">
        <v>0</v>
      </c>
      <c r="G149" s="312">
        <v>0</v>
      </c>
      <c r="H149" s="310">
        <v>0</v>
      </c>
      <c r="I149" s="327">
        <v>1716000</v>
      </c>
      <c r="J149" s="20">
        <v>0</v>
      </c>
      <c r="K149" s="332"/>
      <c r="L149" s="358"/>
      <c r="M149" s="271"/>
      <c r="N149" s="271"/>
      <c r="O149" s="271"/>
      <c r="P149" s="271"/>
      <c r="Q149" s="271"/>
    </row>
    <row r="150" spans="1:17" ht="11.25" customHeight="1">
      <c r="A150" s="494"/>
      <c r="B150" s="494"/>
      <c r="C150" s="286" t="s">
        <v>10</v>
      </c>
      <c r="D150" s="304">
        <v>1716000</v>
      </c>
      <c r="E150" s="301"/>
      <c r="F150" s="313">
        <v>0</v>
      </c>
      <c r="G150" s="313">
        <v>0</v>
      </c>
      <c r="H150" s="311">
        <v>0</v>
      </c>
      <c r="I150" s="328">
        <v>0</v>
      </c>
      <c r="J150" s="24">
        <v>0</v>
      </c>
      <c r="K150" s="333"/>
      <c r="L150" s="358"/>
      <c r="M150" s="271"/>
      <c r="N150" s="271"/>
      <c r="O150" s="271"/>
      <c r="P150" s="271"/>
      <c r="Q150" s="271"/>
    </row>
    <row r="151" spans="1:17" ht="11.25" customHeight="1" thickBot="1">
      <c r="A151" s="495"/>
      <c r="B151" s="495"/>
      <c r="C151" s="287" t="s">
        <v>11</v>
      </c>
      <c r="D151" s="305"/>
      <c r="E151" s="301"/>
      <c r="F151" s="314">
        <v>0</v>
      </c>
      <c r="G151" s="314">
        <v>0</v>
      </c>
      <c r="H151" s="311">
        <v>0</v>
      </c>
      <c r="I151" s="329">
        <v>0</v>
      </c>
      <c r="J151" s="309">
        <v>0</v>
      </c>
      <c r="K151" s="334"/>
      <c r="L151" s="358"/>
      <c r="M151" s="271"/>
      <c r="N151" s="271"/>
      <c r="O151" s="271"/>
      <c r="P151" s="271"/>
      <c r="Q151" s="271"/>
    </row>
    <row r="152" spans="1:17" ht="11.25" customHeight="1">
      <c r="A152" s="280"/>
      <c r="B152" s="498" t="s">
        <v>150</v>
      </c>
      <c r="C152" s="78" t="s">
        <v>8</v>
      </c>
      <c r="D152" s="303"/>
      <c r="E152" s="283"/>
      <c r="F152" s="295">
        <v>0</v>
      </c>
      <c r="G152" s="312">
        <v>0</v>
      </c>
      <c r="H152" s="330">
        <v>0</v>
      </c>
      <c r="I152" s="296">
        <v>2033000</v>
      </c>
      <c r="J152" s="20">
        <v>0</v>
      </c>
      <c r="K152" s="281"/>
      <c r="L152" s="358"/>
      <c r="M152" s="271"/>
      <c r="N152" s="271"/>
      <c r="O152" s="271"/>
      <c r="P152" s="271"/>
      <c r="Q152" s="271"/>
    </row>
    <row r="153" spans="1:17" ht="11.25" customHeight="1">
      <c r="A153" s="280" t="s">
        <v>141</v>
      </c>
      <c r="B153" s="414"/>
      <c r="C153" s="80" t="s">
        <v>10</v>
      </c>
      <c r="D153" s="304">
        <v>2033000</v>
      </c>
      <c r="E153" s="283"/>
      <c r="F153" s="291">
        <v>0</v>
      </c>
      <c r="G153" s="313">
        <v>0</v>
      </c>
      <c r="H153" s="330">
        <v>0</v>
      </c>
      <c r="I153" s="293">
        <v>0</v>
      </c>
      <c r="J153" s="24">
        <v>0</v>
      </c>
      <c r="K153" s="281"/>
      <c r="L153" s="358"/>
      <c r="M153" s="271"/>
      <c r="N153" s="271"/>
      <c r="O153" s="271"/>
      <c r="P153" s="271"/>
      <c r="Q153" s="271"/>
    </row>
    <row r="154" spans="1:17" ht="12" customHeight="1" thickBot="1">
      <c r="A154" s="280"/>
      <c r="B154" s="415"/>
      <c r="C154" s="282" t="s">
        <v>11</v>
      </c>
      <c r="D154" s="305"/>
      <c r="E154" s="283"/>
      <c r="F154" s="291">
        <v>0</v>
      </c>
      <c r="G154" s="314">
        <v>0</v>
      </c>
      <c r="H154" s="331">
        <v>0</v>
      </c>
      <c r="I154" s="293">
        <v>0</v>
      </c>
      <c r="J154" s="309">
        <v>0</v>
      </c>
      <c r="K154" s="281"/>
      <c r="L154" s="358"/>
      <c r="M154" s="271"/>
      <c r="N154" s="271"/>
      <c r="O154" s="271"/>
      <c r="P154" s="271"/>
      <c r="Q154" s="271"/>
    </row>
    <row r="155" spans="1:17" ht="11.25" customHeight="1">
      <c r="A155" s="280"/>
      <c r="B155" s="413" t="s">
        <v>152</v>
      </c>
      <c r="C155" s="78" t="s">
        <v>8</v>
      </c>
      <c r="D155" s="303"/>
      <c r="E155" s="283"/>
      <c r="F155" s="295">
        <v>0</v>
      </c>
      <c r="G155" s="312">
        <v>0</v>
      </c>
      <c r="H155" s="330">
        <v>0</v>
      </c>
      <c r="I155" s="296">
        <v>0</v>
      </c>
      <c r="J155" s="337">
        <v>795800</v>
      </c>
      <c r="K155" s="281"/>
      <c r="L155" s="358"/>
      <c r="M155" s="271"/>
      <c r="N155" s="271"/>
      <c r="O155" s="271"/>
      <c r="P155" s="271"/>
      <c r="Q155" s="271"/>
    </row>
    <row r="156" spans="1:17" ht="11.25" customHeight="1">
      <c r="A156" s="280" t="s">
        <v>141</v>
      </c>
      <c r="B156" s="414"/>
      <c r="C156" s="80" t="s">
        <v>10</v>
      </c>
      <c r="D156" s="304"/>
      <c r="E156" s="283"/>
      <c r="F156" s="291">
        <v>0</v>
      </c>
      <c r="G156" s="313">
        <v>0</v>
      </c>
      <c r="H156" s="330">
        <v>0</v>
      </c>
      <c r="I156" s="293">
        <v>0</v>
      </c>
      <c r="J156" s="340">
        <v>1193700</v>
      </c>
      <c r="K156" s="281"/>
      <c r="L156" s="358"/>
      <c r="M156" s="271"/>
      <c r="N156" s="271"/>
      <c r="O156" s="271"/>
      <c r="P156" s="271"/>
      <c r="Q156" s="271"/>
    </row>
    <row r="157" spans="1:17" ht="11.25" customHeight="1" thickBot="1">
      <c r="A157" s="280"/>
      <c r="B157" s="415"/>
      <c r="C157" s="282" t="s">
        <v>11</v>
      </c>
      <c r="D157" s="305"/>
      <c r="E157" s="283"/>
      <c r="F157" s="291">
        <v>0</v>
      </c>
      <c r="G157" s="314">
        <v>0</v>
      </c>
      <c r="H157" s="331">
        <v>0</v>
      </c>
      <c r="I157" s="293">
        <v>0</v>
      </c>
      <c r="J157" s="341">
        <v>0</v>
      </c>
      <c r="K157" s="281"/>
      <c r="L157" s="358"/>
      <c r="M157" s="271"/>
      <c r="N157" s="271"/>
      <c r="O157" s="271"/>
      <c r="P157" s="271"/>
      <c r="Q157" s="271"/>
    </row>
    <row r="158" spans="1:17" ht="11.25" customHeight="1">
      <c r="A158" s="280"/>
      <c r="B158" s="413" t="s">
        <v>153</v>
      </c>
      <c r="C158" s="78" t="s">
        <v>8</v>
      </c>
      <c r="D158" s="303"/>
      <c r="E158" s="283"/>
      <c r="F158" s="295">
        <v>0</v>
      </c>
      <c r="G158" s="312">
        <v>0</v>
      </c>
      <c r="H158" s="330">
        <v>0</v>
      </c>
      <c r="I158" s="296">
        <v>0</v>
      </c>
      <c r="J158" s="337">
        <v>19910.53</v>
      </c>
      <c r="K158" s="281"/>
      <c r="L158" s="358"/>
      <c r="M158" s="271"/>
      <c r="N158" s="271"/>
      <c r="O158" s="271"/>
      <c r="P158" s="271"/>
      <c r="Q158" s="271"/>
    </row>
    <row r="159" spans="1:17" ht="11.25" customHeight="1">
      <c r="A159" s="280" t="s">
        <v>141</v>
      </c>
      <c r="B159" s="414"/>
      <c r="C159" s="80" t="s">
        <v>10</v>
      </c>
      <c r="D159" s="304"/>
      <c r="E159" s="283"/>
      <c r="F159" s="291">
        <v>0</v>
      </c>
      <c r="G159" s="313">
        <v>0</v>
      </c>
      <c r="H159" s="330">
        <v>0</v>
      </c>
      <c r="I159" s="293">
        <v>0</v>
      </c>
      <c r="J159" s="340">
        <v>378300</v>
      </c>
      <c r="K159" s="281"/>
      <c r="L159" s="358"/>
      <c r="M159" s="271"/>
      <c r="N159" s="271"/>
      <c r="O159" s="271"/>
      <c r="P159" s="271"/>
      <c r="Q159" s="271"/>
    </row>
    <row r="160" spans="1:17" ht="11.25" customHeight="1" thickBot="1">
      <c r="A160" s="280"/>
      <c r="B160" s="415"/>
      <c r="C160" s="282" t="s">
        <v>11</v>
      </c>
      <c r="D160" s="305"/>
      <c r="E160" s="283"/>
      <c r="F160" s="291">
        <v>0</v>
      </c>
      <c r="G160" s="314">
        <v>0</v>
      </c>
      <c r="H160" s="331">
        <v>0</v>
      </c>
      <c r="I160" s="293">
        <v>0</v>
      </c>
      <c r="J160" s="341">
        <v>0</v>
      </c>
      <c r="K160" s="281"/>
      <c r="L160" s="358"/>
      <c r="M160" s="271"/>
      <c r="N160" s="271"/>
      <c r="O160" s="271"/>
      <c r="P160" s="271"/>
      <c r="Q160" s="271"/>
    </row>
    <row r="161" spans="1:17" ht="12.75" customHeight="1">
      <c r="A161" s="422"/>
      <c r="B161" s="425" t="s">
        <v>17</v>
      </c>
      <c r="C161" s="89" t="s">
        <v>8</v>
      </c>
      <c r="D161" s="428"/>
      <c r="E161" s="166">
        <f t="shared" si="6"/>
        <v>48782909.45999999</v>
      </c>
      <c r="F161" s="54">
        <f>F14+F23+F32+F35+F38+F53+F56+F59+F62+F65+F68+F71+F74+F77+F86+F89+F95+F98+F104+F107+F110+F113+F116+F119+F122+F125+F128+F134</f>
        <v>15851953.08</v>
      </c>
      <c r="G161" s="292">
        <f>G14+G23+G32+G35+G38+G53+G56+G59+G62+G65+G68+G71+G71+G74+G77+G86+G89+G95+G98+G104+G107+G110+G113+G116+G119+G122+G125+G128+G134</f>
        <v>11600542.059999999</v>
      </c>
      <c r="H161" s="292">
        <f>H23+H32+H35+H38+H53+H56+H59+H62+H65+H68+H71+H74+H77+H86+H89+H92+H95+H98+H104+H107+H110+H113+H116+H119+H122+H125+H128+H131+H134+H137+H140</f>
        <v>5325101.539999999</v>
      </c>
      <c r="I161" s="54">
        <f>I14+I23+I32+I35+I38+I53+I56+I59+I62+I65+I68+I71+I74+I77+I86+I89+I92+I95+I98+I104+I107+I110+I113+I116+I119+I122+I125+I128+I131+I134+I137+I140+I143+I146+I149+I152+I155+I158</f>
        <v>6330322.05</v>
      </c>
      <c r="J161" s="54">
        <f>J14+J23+J32+J35+J38+J53+J56+J59+J62+J65+J68+J71+J74+J77+J86+J89+J92+J95+J98+J104+J107+J110+J113+J116+J119+J122+J125+J128+J131+J134+J137+J140+J143+J146+J149+J152+J155+J158</f>
        <v>9674990.729999999</v>
      </c>
      <c r="K161" s="255">
        <f>9674990.73-J161</f>
        <v>0</v>
      </c>
      <c r="L161" s="358"/>
      <c r="M161" s="272"/>
      <c r="N161" s="272"/>
      <c r="O161" s="272"/>
      <c r="P161" s="271"/>
      <c r="Q161" s="271"/>
    </row>
    <row r="162" spans="1:17" ht="12.75" customHeight="1">
      <c r="A162" s="423"/>
      <c r="B162" s="426"/>
      <c r="C162" s="90" t="s">
        <v>10</v>
      </c>
      <c r="D162" s="428"/>
      <c r="E162" s="167">
        <f t="shared" si="6"/>
        <v>14827866.900000002</v>
      </c>
      <c r="F162" s="56">
        <f>F15+F24+F33+F36+F39+F54+F57+F60+F63+F66+F69+F72+F75+F78+F87+F90+F96+F99+F105+F108+F111+F114+F117+F120+F123+F126+F129+F135</f>
        <v>0</v>
      </c>
      <c r="G162" s="56">
        <f>G15+G24+G33+G36+G39+G54+G57+G60+G63+G66+G69+G72+G75+G78+G87+G90+G96+G99+G105+G108+G111+G114+G117+G120+G123+G126+G129+G135</f>
        <v>6133449.96</v>
      </c>
      <c r="H162" s="56">
        <f>H15+H24+H33+H36+H39+H54+H57+H60+H63+H66+H69+H72+H75+H78+H87+H90+H96+H99+H105+H108+H111+H114+H117+H120+H123+H126+H129+H132+H135+H93+H138+H141</f>
        <v>6774316.940000001</v>
      </c>
      <c r="I162" s="56">
        <f>I15+I24+I33+I36+I39+I54+I57+I60+I63+I63+I66+I69+I72+I75+I78+I87+I90+I93+I96+I99+I105+I111+I114+I117+I120+I123+I126+I129+I132+I135+I138+I141+I144+I147+I150+I153</f>
        <v>348100</v>
      </c>
      <c r="J162" s="56">
        <f>J15+J24+J33+J36+J39+J54+J57+J60+J63+J66+J69+J72+J75+J78+J87+J90+J93+J96+J99+J105+J108+J111+J114+J117+J120+J123+J126+J129+J132+J135+J138+J141+J144+J147+J150+J153+J156+J159</f>
        <v>1572000</v>
      </c>
      <c r="K162" s="256"/>
      <c r="L162" s="358"/>
      <c r="M162" s="275"/>
      <c r="N162" s="272"/>
      <c r="O162" s="271"/>
      <c r="P162" s="271"/>
      <c r="Q162" s="271"/>
    </row>
    <row r="163" spans="1:17" ht="12.75" customHeight="1" thickBot="1">
      <c r="A163" s="424"/>
      <c r="B163" s="427"/>
      <c r="C163" s="91" t="s">
        <v>11</v>
      </c>
      <c r="D163" s="429"/>
      <c r="E163" s="168">
        <f t="shared" si="6"/>
        <v>172807372.98</v>
      </c>
      <c r="F163" s="58">
        <f>F16+F25+F34+F37+F40+F55+F58+F61+F64+F67+F70+F73+F76+F79+F88+F91+F97+F100+F106+F109+F112+F115+F118+F121+F124+F127+F130+F136</f>
        <v>3752000</v>
      </c>
      <c r="G163" s="58">
        <f>G16+G25+G34+G37+G40+G55+G58+G61+G64+G67+G70+G73+G76+G79+G88+G91+G97+G100+G106+G109+G112+G115+G118+G121+G124+G127+G130+G136</f>
        <v>83520975.97999999</v>
      </c>
      <c r="H163" s="58">
        <f>H16+H25+H34+H37+H40+H55+H58+H61+H64+H67+H70+H73+H76+H79+H88+H91+H97+H100+H106+H109+H112+H115+H118+H121+H124+H127+H130+H133+H136</f>
        <v>85534397</v>
      </c>
      <c r="I163" s="58">
        <f>I16+I25+I34+I37+I40+I55+I58+I61+I64+I67+I70+I73+I76+I79+I88+I91+I97+I100+I106+I109+I112+I115+I118+I121+I124+I127+I130+I136</f>
        <v>0</v>
      </c>
      <c r="J163" s="58">
        <f>J16+J25+J34+J37+J40+J55+J58+J61+J64+J67+J70+J73+J76+J79+J88+J91+J97+J100+J106+J109+J112+J115+J118+J121+J124+J127+J130+J136</f>
        <v>0</v>
      </c>
      <c r="K163" s="257"/>
      <c r="L163" s="358"/>
      <c r="M163" s="272"/>
      <c r="N163" s="272"/>
      <c r="O163" s="272"/>
      <c r="P163" s="271"/>
      <c r="Q163" s="271"/>
    </row>
    <row r="164" spans="1:17" ht="12.75" customHeight="1" thickBot="1">
      <c r="A164" s="92"/>
      <c r="B164" s="93"/>
      <c r="C164" s="94"/>
      <c r="D164" s="95"/>
      <c r="E164" s="169"/>
      <c r="F164" s="94"/>
      <c r="G164" s="94"/>
      <c r="H164" s="94"/>
      <c r="I164" s="94"/>
      <c r="J164" s="96"/>
      <c r="K164" s="258"/>
      <c r="L164" s="358"/>
      <c r="M164" s="271"/>
      <c r="N164" s="272"/>
      <c r="O164" s="271"/>
      <c r="P164" s="271"/>
      <c r="Q164" s="271"/>
    </row>
    <row r="165" spans="1:17" ht="16.5" customHeight="1" thickBot="1">
      <c r="A165" s="433" t="s">
        <v>18</v>
      </c>
      <c r="B165" s="433"/>
      <c r="C165" s="433"/>
      <c r="D165" s="433"/>
      <c r="E165" s="433"/>
      <c r="F165" s="433"/>
      <c r="G165" s="433"/>
      <c r="H165" s="433"/>
      <c r="I165" s="433"/>
      <c r="J165" s="433"/>
      <c r="K165" s="59"/>
      <c r="L165" s="358"/>
      <c r="M165" s="271"/>
      <c r="N165" s="271"/>
      <c r="O165" s="272"/>
      <c r="P165" s="271"/>
      <c r="Q165" s="271"/>
    </row>
    <row r="166" spans="1:17" s="9" customFormat="1" ht="17.25" customHeight="1">
      <c r="A166" s="360" t="s">
        <v>139</v>
      </c>
      <c r="B166" s="363" t="s">
        <v>36</v>
      </c>
      <c r="C166" s="77" t="s">
        <v>8</v>
      </c>
      <c r="D166" s="366">
        <f>E166+E167+E168</f>
        <v>27009092.020000003</v>
      </c>
      <c r="E166" s="149">
        <f aca="true" t="shared" si="7" ref="E166:E180">SUM(F166:J166)</f>
        <v>25959592.020000003</v>
      </c>
      <c r="F166" s="18">
        <f>100000+11489726.59+933960.56</f>
        <v>12523687.15</v>
      </c>
      <c r="G166" s="18">
        <f>12568687.15+867217.72</f>
        <v>13435904.870000001</v>
      </c>
      <c r="H166" s="18">
        <v>0</v>
      </c>
      <c r="I166" s="18">
        <v>0</v>
      </c>
      <c r="J166" s="20">
        <v>0</v>
      </c>
      <c r="K166" s="232"/>
      <c r="L166" s="358"/>
      <c r="M166" s="278"/>
      <c r="N166" s="277"/>
      <c r="O166" s="278"/>
      <c r="P166" s="278"/>
      <c r="Q166" s="278"/>
    </row>
    <row r="167" spans="1:14" s="9" customFormat="1" ht="17.25" customHeight="1">
      <c r="A167" s="361"/>
      <c r="B167" s="364"/>
      <c r="C167" s="79" t="s">
        <v>10</v>
      </c>
      <c r="D167" s="367"/>
      <c r="E167" s="150">
        <f t="shared" si="7"/>
        <v>1049500</v>
      </c>
      <c r="F167" s="22">
        <f>F170+F173+F176+F179</f>
        <v>0</v>
      </c>
      <c r="G167" s="22">
        <f aca="true" t="shared" si="8" ref="F167:J168">G170+G173+G176+G179</f>
        <v>1049500</v>
      </c>
      <c r="H167" s="22">
        <f t="shared" si="8"/>
        <v>0</v>
      </c>
      <c r="I167" s="22">
        <f t="shared" si="8"/>
        <v>0</v>
      </c>
      <c r="J167" s="24">
        <f t="shared" si="8"/>
        <v>0</v>
      </c>
      <c r="K167" s="233"/>
      <c r="L167" s="358"/>
      <c r="N167" s="213"/>
    </row>
    <row r="168" spans="1:14" s="9" customFormat="1" ht="14.25" customHeight="1" thickBot="1">
      <c r="A168" s="362"/>
      <c r="B168" s="365"/>
      <c r="C168" s="81" t="s">
        <v>11</v>
      </c>
      <c r="D168" s="368"/>
      <c r="E168" s="151">
        <f t="shared" si="7"/>
        <v>0</v>
      </c>
      <c r="F168" s="22">
        <f t="shared" si="8"/>
        <v>0</v>
      </c>
      <c r="G168" s="22">
        <f t="shared" si="8"/>
        <v>0</v>
      </c>
      <c r="H168" s="22">
        <f t="shared" si="8"/>
        <v>0</v>
      </c>
      <c r="I168" s="22">
        <f t="shared" si="8"/>
        <v>0</v>
      </c>
      <c r="J168" s="24">
        <f t="shared" si="8"/>
        <v>0</v>
      </c>
      <c r="K168" s="234"/>
      <c r="L168" s="358"/>
      <c r="N168" s="213"/>
    </row>
    <row r="169" spans="1:12" s="12" customFormat="1" ht="17.25" customHeight="1" hidden="1">
      <c r="A169" s="369"/>
      <c r="B169" s="381" t="s">
        <v>32</v>
      </c>
      <c r="C169" s="83" t="s">
        <v>8</v>
      </c>
      <c r="D169" s="434">
        <f>E169+E170+E171</f>
        <v>4659802.46</v>
      </c>
      <c r="E169" s="170">
        <f t="shared" si="7"/>
        <v>4659802.46</v>
      </c>
      <c r="F169" s="28">
        <v>100000</v>
      </c>
      <c r="G169" s="28">
        <v>0</v>
      </c>
      <c r="H169" s="49">
        <v>0</v>
      </c>
      <c r="I169" s="28">
        <f>513102.46-5213.03+251913.03</f>
        <v>759802.46</v>
      </c>
      <c r="J169" s="37">
        <v>3800000</v>
      </c>
      <c r="K169" s="239"/>
      <c r="L169" s="358"/>
    </row>
    <row r="170" spans="1:13" s="12" customFormat="1" ht="17.25" customHeight="1" hidden="1">
      <c r="A170" s="370"/>
      <c r="B170" s="382"/>
      <c r="C170" s="84" t="s">
        <v>10</v>
      </c>
      <c r="D170" s="435"/>
      <c r="E170" s="171">
        <f t="shared" si="7"/>
        <v>0</v>
      </c>
      <c r="F170" s="31">
        <v>0</v>
      </c>
      <c r="G170" s="31">
        <v>0</v>
      </c>
      <c r="H170" s="60">
        <v>0</v>
      </c>
      <c r="I170" s="31">
        <v>0</v>
      </c>
      <c r="J170" s="61">
        <v>0</v>
      </c>
      <c r="K170" s="259"/>
      <c r="L170" s="358"/>
      <c r="M170" s="13"/>
    </row>
    <row r="171" spans="1:12" s="12" customFormat="1" ht="17.25" customHeight="1" hidden="1">
      <c r="A171" s="371"/>
      <c r="B171" s="383"/>
      <c r="C171" s="85" t="s">
        <v>11</v>
      </c>
      <c r="D171" s="436"/>
      <c r="E171" s="172">
        <f t="shared" si="7"/>
        <v>0</v>
      </c>
      <c r="F171" s="34">
        <v>0</v>
      </c>
      <c r="G171" s="34">
        <v>0</v>
      </c>
      <c r="H171" s="17">
        <v>0</v>
      </c>
      <c r="I171" s="34">
        <v>0</v>
      </c>
      <c r="J171" s="62">
        <v>0</v>
      </c>
      <c r="K171" s="260"/>
      <c r="L171" s="358"/>
    </row>
    <row r="172" spans="1:12" s="12" customFormat="1" ht="17.25" customHeight="1" hidden="1">
      <c r="A172" s="369"/>
      <c r="B172" s="381" t="s">
        <v>33</v>
      </c>
      <c r="C172" s="83" t="s">
        <v>8</v>
      </c>
      <c r="D172" s="437">
        <f>E172+E173+E174</f>
        <v>25975131.46</v>
      </c>
      <c r="E172" s="170">
        <f t="shared" si="7"/>
        <v>24925631.46</v>
      </c>
      <c r="F172" s="28">
        <v>11489726.59</v>
      </c>
      <c r="G172" s="49">
        <v>13435904.87</v>
      </c>
      <c r="H172" s="49">
        <v>0</v>
      </c>
      <c r="I172" s="28">
        <v>0</v>
      </c>
      <c r="J172" s="37">
        <v>0</v>
      </c>
      <c r="K172" s="239"/>
      <c r="L172" s="358"/>
    </row>
    <row r="173" spans="1:12" s="12" customFormat="1" ht="17.25" customHeight="1" hidden="1">
      <c r="A173" s="370"/>
      <c r="B173" s="382"/>
      <c r="C173" s="84" t="s">
        <v>10</v>
      </c>
      <c r="D173" s="438"/>
      <c r="E173" s="171">
        <f t="shared" si="7"/>
        <v>1049500</v>
      </c>
      <c r="F173" s="31">
        <v>0</v>
      </c>
      <c r="G173" s="60">
        <v>1049500</v>
      </c>
      <c r="H173" s="60">
        <v>0</v>
      </c>
      <c r="I173" s="31">
        <v>0</v>
      </c>
      <c r="J173" s="61">
        <v>0</v>
      </c>
      <c r="K173" s="259"/>
      <c r="L173" s="358"/>
    </row>
    <row r="174" spans="1:12" s="12" customFormat="1" ht="17.25" customHeight="1" hidden="1">
      <c r="A174" s="371"/>
      <c r="B174" s="383"/>
      <c r="C174" s="85" t="s">
        <v>11</v>
      </c>
      <c r="D174" s="439"/>
      <c r="E174" s="172">
        <f t="shared" si="7"/>
        <v>0</v>
      </c>
      <c r="F174" s="34">
        <v>0</v>
      </c>
      <c r="G174" s="34">
        <v>0</v>
      </c>
      <c r="H174" s="17">
        <v>0</v>
      </c>
      <c r="I174" s="34">
        <v>0</v>
      </c>
      <c r="J174" s="62">
        <v>0</v>
      </c>
      <c r="K174" s="260"/>
      <c r="L174" s="358"/>
    </row>
    <row r="175" spans="1:12" s="12" customFormat="1" ht="17.25" customHeight="1" hidden="1">
      <c r="A175" s="369"/>
      <c r="B175" s="381" t="s">
        <v>34</v>
      </c>
      <c r="C175" s="83" t="s">
        <v>8</v>
      </c>
      <c r="D175" s="434">
        <f>E175+E176+E177</f>
        <v>0</v>
      </c>
      <c r="E175" s="171">
        <f t="shared" si="7"/>
        <v>0</v>
      </c>
      <c r="F175" s="28">
        <v>0</v>
      </c>
      <c r="G175" s="28">
        <v>0</v>
      </c>
      <c r="H175" s="49">
        <v>0</v>
      </c>
      <c r="I175" s="28">
        <v>0</v>
      </c>
      <c r="J175" s="37">
        <v>0</v>
      </c>
      <c r="K175" s="239"/>
      <c r="L175" s="358"/>
    </row>
    <row r="176" spans="1:12" s="12" customFormat="1" ht="17.25" customHeight="1" hidden="1">
      <c r="A176" s="370"/>
      <c r="B176" s="382"/>
      <c r="C176" s="84" t="s">
        <v>10</v>
      </c>
      <c r="D176" s="435"/>
      <c r="E176" s="171">
        <f t="shared" si="7"/>
        <v>0</v>
      </c>
      <c r="F176" s="31">
        <v>0</v>
      </c>
      <c r="G176" s="31">
        <v>0</v>
      </c>
      <c r="H176" s="31">
        <v>0</v>
      </c>
      <c r="I176" s="31">
        <v>0</v>
      </c>
      <c r="J176" s="61">
        <v>0</v>
      </c>
      <c r="K176" s="259"/>
      <c r="L176" s="358"/>
    </row>
    <row r="177" spans="1:12" s="12" customFormat="1" ht="17.25" customHeight="1" hidden="1">
      <c r="A177" s="371"/>
      <c r="B177" s="383"/>
      <c r="C177" s="85" t="s">
        <v>11</v>
      </c>
      <c r="D177" s="436"/>
      <c r="E177" s="171">
        <f t="shared" si="7"/>
        <v>0</v>
      </c>
      <c r="F177" s="34">
        <v>0</v>
      </c>
      <c r="G177" s="34">
        <v>0</v>
      </c>
      <c r="H177" s="34">
        <v>0</v>
      </c>
      <c r="I177" s="34">
        <v>0</v>
      </c>
      <c r="J177" s="62">
        <v>0</v>
      </c>
      <c r="K177" s="260"/>
      <c r="L177" s="358"/>
    </row>
    <row r="178" spans="1:12" s="12" customFormat="1" ht="17.25" customHeight="1" hidden="1">
      <c r="A178" s="369"/>
      <c r="B178" s="381" t="s">
        <v>35</v>
      </c>
      <c r="C178" s="83" t="s">
        <v>8</v>
      </c>
      <c r="D178" s="434">
        <f>E178+E179+E180</f>
        <v>0</v>
      </c>
      <c r="E178" s="170">
        <f t="shared" si="7"/>
        <v>0</v>
      </c>
      <c r="F178" s="28">
        <v>0</v>
      </c>
      <c r="G178" s="28">
        <v>0</v>
      </c>
      <c r="H178" s="28">
        <v>0</v>
      </c>
      <c r="I178" s="28">
        <v>0</v>
      </c>
      <c r="J178" s="37">
        <v>0</v>
      </c>
      <c r="K178" s="239"/>
      <c r="L178" s="358"/>
    </row>
    <row r="179" spans="1:12" s="12" customFormat="1" ht="17.25" customHeight="1" hidden="1">
      <c r="A179" s="370"/>
      <c r="B179" s="382"/>
      <c r="C179" s="84" t="s">
        <v>10</v>
      </c>
      <c r="D179" s="435"/>
      <c r="E179" s="171">
        <f t="shared" si="7"/>
        <v>0</v>
      </c>
      <c r="F179" s="31">
        <v>0</v>
      </c>
      <c r="G179" s="31">
        <v>0</v>
      </c>
      <c r="H179" s="31">
        <v>0</v>
      </c>
      <c r="I179" s="31">
        <v>0</v>
      </c>
      <c r="J179" s="61">
        <v>0</v>
      </c>
      <c r="K179" s="259"/>
      <c r="L179" s="358"/>
    </row>
    <row r="180" spans="1:12" s="12" customFormat="1" ht="17.25" customHeight="1" hidden="1">
      <c r="A180" s="371"/>
      <c r="B180" s="383"/>
      <c r="C180" s="85" t="s">
        <v>11</v>
      </c>
      <c r="D180" s="436"/>
      <c r="E180" s="172">
        <f t="shared" si="7"/>
        <v>0</v>
      </c>
      <c r="F180" s="34">
        <v>0</v>
      </c>
      <c r="G180" s="34">
        <v>0</v>
      </c>
      <c r="H180" s="34">
        <v>0</v>
      </c>
      <c r="I180" s="34">
        <v>0</v>
      </c>
      <c r="J180" s="62">
        <v>0</v>
      </c>
      <c r="K180" s="260"/>
      <c r="L180" s="358"/>
    </row>
    <row r="181" spans="1:12" s="9" customFormat="1" ht="17.25" customHeight="1">
      <c r="A181" s="422"/>
      <c r="B181" s="425" t="s">
        <v>19</v>
      </c>
      <c r="C181" s="89" t="s">
        <v>8</v>
      </c>
      <c r="D181" s="440"/>
      <c r="E181" s="166">
        <f aca="true" t="shared" si="9" ref="E181:J183">E166</f>
        <v>25959592.020000003</v>
      </c>
      <c r="F181" s="54">
        <f t="shared" si="9"/>
        <v>12523687.15</v>
      </c>
      <c r="G181" s="54">
        <f t="shared" si="9"/>
        <v>13435904.870000001</v>
      </c>
      <c r="H181" s="54">
        <v>0</v>
      </c>
      <c r="I181" s="54">
        <f t="shared" si="9"/>
        <v>0</v>
      </c>
      <c r="J181" s="55">
        <v>0</v>
      </c>
      <c r="K181" s="255"/>
      <c r="L181" s="358"/>
    </row>
    <row r="182" spans="1:13" s="9" customFormat="1" ht="17.25" customHeight="1">
      <c r="A182" s="423"/>
      <c r="B182" s="426"/>
      <c r="C182" s="90" t="s">
        <v>10</v>
      </c>
      <c r="D182" s="428"/>
      <c r="E182" s="167">
        <f t="shared" si="9"/>
        <v>1049500</v>
      </c>
      <c r="F182" s="56">
        <f t="shared" si="9"/>
        <v>0</v>
      </c>
      <c r="G182" s="56">
        <f t="shared" si="9"/>
        <v>1049500</v>
      </c>
      <c r="H182" s="56">
        <f t="shared" si="9"/>
        <v>0</v>
      </c>
      <c r="I182" s="56">
        <f t="shared" si="9"/>
        <v>0</v>
      </c>
      <c r="J182" s="57">
        <f t="shared" si="9"/>
        <v>0</v>
      </c>
      <c r="K182" s="256"/>
      <c r="L182" s="358"/>
      <c r="M182" s="135"/>
    </row>
    <row r="183" spans="1:12" s="9" customFormat="1" ht="16.5" customHeight="1" thickBot="1">
      <c r="A183" s="424"/>
      <c r="B183" s="427"/>
      <c r="C183" s="91" t="s">
        <v>11</v>
      </c>
      <c r="D183" s="429"/>
      <c r="E183" s="168">
        <f t="shared" si="9"/>
        <v>0</v>
      </c>
      <c r="F183" s="58">
        <f t="shared" si="9"/>
        <v>0</v>
      </c>
      <c r="G183" s="58">
        <f t="shared" si="9"/>
        <v>0</v>
      </c>
      <c r="H183" s="58">
        <f t="shared" si="9"/>
        <v>0</v>
      </c>
      <c r="I183" s="58">
        <f t="shared" si="9"/>
        <v>0</v>
      </c>
      <c r="J183" s="58">
        <f t="shared" si="9"/>
        <v>0</v>
      </c>
      <c r="K183" s="257"/>
      <c r="L183" s="358"/>
    </row>
    <row r="184" spans="1:12" ht="17.25" customHeight="1" hidden="1">
      <c r="A184" s="441"/>
      <c r="B184" s="444"/>
      <c r="C184" s="97"/>
      <c r="D184" s="447"/>
      <c r="E184" s="97"/>
      <c r="F184" s="97"/>
      <c r="G184" s="97"/>
      <c r="H184" s="97"/>
      <c r="I184" s="97"/>
      <c r="J184" s="97"/>
      <c r="K184" s="261"/>
      <c r="L184" s="358"/>
    </row>
    <row r="185" spans="1:12" ht="17.25" customHeight="1" hidden="1">
      <c r="A185" s="442"/>
      <c r="B185" s="445"/>
      <c r="C185" s="98"/>
      <c r="D185" s="448"/>
      <c r="E185" s="98"/>
      <c r="F185" s="98"/>
      <c r="G185" s="98"/>
      <c r="H185" s="98"/>
      <c r="I185" s="98"/>
      <c r="J185" s="98"/>
      <c r="K185" s="261"/>
      <c r="L185" s="358"/>
    </row>
    <row r="186" spans="1:12" ht="17.25" customHeight="1" hidden="1">
      <c r="A186" s="443"/>
      <c r="B186" s="446"/>
      <c r="C186" s="99"/>
      <c r="D186" s="449"/>
      <c r="E186" s="99"/>
      <c r="F186" s="99"/>
      <c r="G186" s="99"/>
      <c r="H186" s="99"/>
      <c r="I186" s="99"/>
      <c r="J186" s="99"/>
      <c r="K186" s="262"/>
      <c r="L186" s="358"/>
    </row>
    <row r="187" spans="1:12" ht="17.25" customHeight="1" hidden="1">
      <c r="A187" s="100"/>
      <c r="B187" s="101"/>
      <c r="C187" s="98"/>
      <c r="D187" s="102"/>
      <c r="E187" s="98"/>
      <c r="F187" s="98"/>
      <c r="G187" s="98"/>
      <c r="H187" s="98"/>
      <c r="I187" s="98"/>
      <c r="J187" s="98"/>
      <c r="K187" s="261"/>
      <c r="L187" s="358"/>
    </row>
    <row r="188" spans="1:12" ht="18" customHeight="1" thickBot="1">
      <c r="A188" s="450" t="s">
        <v>20</v>
      </c>
      <c r="B188" s="451"/>
      <c r="C188" s="451"/>
      <c r="D188" s="451"/>
      <c r="E188" s="451"/>
      <c r="F188" s="451"/>
      <c r="G188" s="451"/>
      <c r="H188" s="451"/>
      <c r="I188" s="451"/>
      <c r="J188" s="452"/>
      <c r="K188" s="59"/>
      <c r="L188" s="358"/>
    </row>
    <row r="189" spans="1:12" ht="15" customHeight="1">
      <c r="A189" s="360" t="s">
        <v>140</v>
      </c>
      <c r="B189" s="363" t="s">
        <v>21</v>
      </c>
      <c r="C189" s="77" t="s">
        <v>8</v>
      </c>
      <c r="D189" s="453">
        <v>450000</v>
      </c>
      <c r="E189" s="173">
        <f aca="true" t="shared" si="10" ref="E189:E252">SUM(F189:J189)</f>
        <v>45899.6</v>
      </c>
      <c r="F189" s="22">
        <f>45000+899.6</f>
        <v>45899.6</v>
      </c>
      <c r="G189" s="77">
        <v>0</v>
      </c>
      <c r="H189" s="77">
        <v>0</v>
      </c>
      <c r="I189" s="77">
        <v>0</v>
      </c>
      <c r="J189" s="78">
        <v>0</v>
      </c>
      <c r="K189" s="378" t="s">
        <v>67</v>
      </c>
      <c r="L189" s="358"/>
    </row>
    <row r="190" spans="1:12" ht="15" customHeight="1">
      <c r="A190" s="361"/>
      <c r="B190" s="364"/>
      <c r="C190" s="79" t="s">
        <v>10</v>
      </c>
      <c r="D190" s="454"/>
      <c r="E190" s="174">
        <f t="shared" si="10"/>
        <v>405000</v>
      </c>
      <c r="F190" s="22">
        <f>405000</f>
        <v>405000</v>
      </c>
      <c r="G190" s="79">
        <v>0</v>
      </c>
      <c r="H190" s="79">
        <v>0</v>
      </c>
      <c r="I190" s="79">
        <v>0</v>
      </c>
      <c r="J190" s="80">
        <v>0</v>
      </c>
      <c r="K190" s="379"/>
      <c r="L190" s="358"/>
    </row>
    <row r="191" spans="1:12" ht="15" customHeight="1" thickBot="1">
      <c r="A191" s="362"/>
      <c r="B191" s="365"/>
      <c r="C191" s="81" t="s">
        <v>11</v>
      </c>
      <c r="D191" s="455"/>
      <c r="E191" s="174">
        <v>0</v>
      </c>
      <c r="F191" s="25">
        <v>0</v>
      </c>
      <c r="G191" s="81" t="s">
        <v>120</v>
      </c>
      <c r="H191" s="81">
        <v>0</v>
      </c>
      <c r="I191" s="81">
        <v>0</v>
      </c>
      <c r="J191" s="82">
        <v>0</v>
      </c>
      <c r="K191" s="379"/>
      <c r="L191" s="358"/>
    </row>
    <row r="192" spans="1:12" ht="15" customHeight="1">
      <c r="A192" s="360" t="s">
        <v>141</v>
      </c>
      <c r="B192" s="363" t="s">
        <v>68</v>
      </c>
      <c r="C192" s="77" t="s">
        <v>8</v>
      </c>
      <c r="D192" s="453">
        <f>D195+D198+D201+D204+D207+D210</f>
        <v>41563500</v>
      </c>
      <c r="E192" s="175">
        <f t="shared" si="10"/>
        <v>0</v>
      </c>
      <c r="F192" s="77">
        <f aca="true" t="shared" si="11" ref="F192:J194">F195+F198+F201+F204+F207+F210</f>
        <v>0</v>
      </c>
      <c r="G192" s="77">
        <f t="shared" si="11"/>
        <v>0</v>
      </c>
      <c r="H192" s="77">
        <f t="shared" si="11"/>
        <v>0</v>
      </c>
      <c r="I192" s="77">
        <f t="shared" si="11"/>
        <v>0</v>
      </c>
      <c r="J192" s="78">
        <f t="shared" si="11"/>
        <v>0</v>
      </c>
      <c r="K192" s="379"/>
      <c r="L192" s="358"/>
    </row>
    <row r="193" spans="1:12" ht="15" customHeight="1">
      <c r="A193" s="361"/>
      <c r="B193" s="364"/>
      <c r="C193" s="79" t="s">
        <v>10</v>
      </c>
      <c r="D193" s="454"/>
      <c r="E193" s="176">
        <f t="shared" si="10"/>
        <v>0</v>
      </c>
      <c r="F193" s="79">
        <f t="shared" si="11"/>
        <v>0</v>
      </c>
      <c r="G193" s="79">
        <f t="shared" si="11"/>
        <v>0</v>
      </c>
      <c r="H193" s="79">
        <f t="shared" si="11"/>
        <v>0</v>
      </c>
      <c r="I193" s="79">
        <f t="shared" si="11"/>
        <v>0</v>
      </c>
      <c r="J193" s="79">
        <f t="shared" si="11"/>
        <v>0</v>
      </c>
      <c r="K193" s="379"/>
      <c r="L193" s="358"/>
    </row>
    <row r="194" spans="1:12" ht="15" customHeight="1" thickBot="1">
      <c r="A194" s="362"/>
      <c r="B194" s="365"/>
      <c r="C194" s="81" t="s">
        <v>11</v>
      </c>
      <c r="D194" s="455"/>
      <c r="E194" s="177">
        <f t="shared" si="10"/>
        <v>0</v>
      </c>
      <c r="F194" s="81">
        <f t="shared" si="11"/>
        <v>0</v>
      </c>
      <c r="G194" s="81">
        <f t="shared" si="11"/>
        <v>0</v>
      </c>
      <c r="H194" s="81">
        <f t="shared" si="11"/>
        <v>0</v>
      </c>
      <c r="I194" s="81">
        <f t="shared" si="11"/>
        <v>0</v>
      </c>
      <c r="J194" s="81">
        <f t="shared" si="11"/>
        <v>0</v>
      </c>
      <c r="K194" s="379"/>
      <c r="L194" s="358"/>
    </row>
    <row r="195" spans="1:12" ht="13.5" customHeight="1" hidden="1">
      <c r="A195" s="456"/>
      <c r="B195" s="456" t="s">
        <v>37</v>
      </c>
      <c r="C195" s="103" t="s">
        <v>8</v>
      </c>
      <c r="D195" s="459">
        <v>2601500</v>
      </c>
      <c r="E195" s="178">
        <f t="shared" si="10"/>
        <v>0</v>
      </c>
      <c r="F195" s="103">
        <v>0</v>
      </c>
      <c r="G195" s="86">
        <v>0</v>
      </c>
      <c r="H195" s="103">
        <v>0</v>
      </c>
      <c r="I195" s="103">
        <v>0</v>
      </c>
      <c r="J195" s="104">
        <v>0</v>
      </c>
      <c r="K195" s="379"/>
      <c r="L195" s="358"/>
    </row>
    <row r="196" spans="1:12" ht="13.5" customHeight="1" hidden="1">
      <c r="A196" s="457"/>
      <c r="B196" s="457"/>
      <c r="C196" s="105" t="s">
        <v>10</v>
      </c>
      <c r="D196" s="460"/>
      <c r="E196" s="179">
        <f t="shared" si="10"/>
        <v>0</v>
      </c>
      <c r="F196" s="105">
        <v>0</v>
      </c>
      <c r="G196" s="87">
        <v>0</v>
      </c>
      <c r="H196" s="105">
        <v>0</v>
      </c>
      <c r="I196" s="105">
        <v>0</v>
      </c>
      <c r="J196" s="106">
        <v>0</v>
      </c>
      <c r="K196" s="379"/>
      <c r="L196" s="358"/>
    </row>
    <row r="197" spans="1:12" ht="13.5" customHeight="1" hidden="1">
      <c r="A197" s="458"/>
      <c r="B197" s="458"/>
      <c r="C197" s="107" t="s">
        <v>11</v>
      </c>
      <c r="D197" s="461"/>
      <c r="E197" s="180">
        <f t="shared" si="10"/>
        <v>0</v>
      </c>
      <c r="F197" s="107">
        <v>0</v>
      </c>
      <c r="G197" s="107" t="s">
        <v>120</v>
      </c>
      <c r="H197" s="107">
        <v>0</v>
      </c>
      <c r="I197" s="107">
        <v>0</v>
      </c>
      <c r="J197" s="108">
        <v>0</v>
      </c>
      <c r="K197" s="379"/>
      <c r="L197" s="358"/>
    </row>
    <row r="198" spans="1:12" ht="13.5" customHeight="1" hidden="1">
      <c r="A198" s="456"/>
      <c r="B198" s="456" t="s">
        <v>38</v>
      </c>
      <c r="C198" s="103" t="s">
        <v>8</v>
      </c>
      <c r="D198" s="462" t="s">
        <v>83</v>
      </c>
      <c r="E198" s="178">
        <f t="shared" si="10"/>
        <v>0</v>
      </c>
      <c r="F198" s="103">
        <v>0</v>
      </c>
      <c r="G198" s="103">
        <v>0</v>
      </c>
      <c r="H198" s="103">
        <v>0</v>
      </c>
      <c r="I198" s="103">
        <v>0</v>
      </c>
      <c r="J198" s="104">
        <v>0</v>
      </c>
      <c r="K198" s="379"/>
      <c r="L198" s="358"/>
    </row>
    <row r="199" spans="1:12" ht="13.5" customHeight="1" hidden="1">
      <c r="A199" s="457"/>
      <c r="B199" s="457"/>
      <c r="C199" s="105" t="s">
        <v>10</v>
      </c>
      <c r="D199" s="463"/>
      <c r="E199" s="179">
        <f t="shared" si="10"/>
        <v>0</v>
      </c>
      <c r="F199" s="105">
        <v>0</v>
      </c>
      <c r="G199" s="105">
        <v>0</v>
      </c>
      <c r="H199" s="105">
        <v>0</v>
      </c>
      <c r="I199" s="105">
        <v>0</v>
      </c>
      <c r="J199" s="106">
        <v>0</v>
      </c>
      <c r="K199" s="379"/>
      <c r="L199" s="358"/>
    </row>
    <row r="200" spans="1:12" ht="13.5" customHeight="1" hidden="1">
      <c r="A200" s="458"/>
      <c r="B200" s="458"/>
      <c r="C200" s="107" t="s">
        <v>11</v>
      </c>
      <c r="D200" s="464"/>
      <c r="E200" s="181">
        <f t="shared" si="10"/>
        <v>0</v>
      </c>
      <c r="F200" s="107">
        <v>0</v>
      </c>
      <c r="G200" s="107">
        <v>0</v>
      </c>
      <c r="H200" s="107">
        <v>0</v>
      </c>
      <c r="I200" s="107">
        <v>0</v>
      </c>
      <c r="J200" s="108">
        <v>0</v>
      </c>
      <c r="K200" s="379"/>
      <c r="L200" s="358"/>
    </row>
    <row r="201" spans="1:12" ht="13.5" customHeight="1" hidden="1">
      <c r="A201" s="456"/>
      <c r="B201" s="456" t="s">
        <v>39</v>
      </c>
      <c r="C201" s="103" t="s">
        <v>8</v>
      </c>
      <c r="D201" s="462" t="s">
        <v>82</v>
      </c>
      <c r="E201" s="178">
        <f t="shared" si="10"/>
        <v>0</v>
      </c>
      <c r="F201" s="103">
        <v>0</v>
      </c>
      <c r="G201" s="103">
        <v>0</v>
      </c>
      <c r="H201" s="103">
        <v>0</v>
      </c>
      <c r="I201" s="103">
        <v>0</v>
      </c>
      <c r="J201" s="104">
        <v>0</v>
      </c>
      <c r="K201" s="379"/>
      <c r="L201" s="358"/>
    </row>
    <row r="202" spans="1:12" ht="13.5" customHeight="1" hidden="1">
      <c r="A202" s="457"/>
      <c r="B202" s="457"/>
      <c r="C202" s="105" t="s">
        <v>10</v>
      </c>
      <c r="D202" s="463"/>
      <c r="E202" s="179">
        <f t="shared" si="10"/>
        <v>0</v>
      </c>
      <c r="F202" s="105">
        <v>0</v>
      </c>
      <c r="G202" s="105">
        <v>0</v>
      </c>
      <c r="H202" s="105">
        <v>0</v>
      </c>
      <c r="I202" s="105">
        <v>0</v>
      </c>
      <c r="J202" s="106">
        <v>0</v>
      </c>
      <c r="K202" s="379"/>
      <c r="L202" s="358"/>
    </row>
    <row r="203" spans="1:12" ht="12" customHeight="1" hidden="1">
      <c r="A203" s="458"/>
      <c r="B203" s="458"/>
      <c r="C203" s="107" t="s">
        <v>11</v>
      </c>
      <c r="D203" s="464"/>
      <c r="E203" s="181">
        <f t="shared" si="10"/>
        <v>0</v>
      </c>
      <c r="F203" s="107">
        <v>0</v>
      </c>
      <c r="G203" s="107">
        <v>0</v>
      </c>
      <c r="H203" s="107">
        <v>0</v>
      </c>
      <c r="I203" s="107">
        <v>0</v>
      </c>
      <c r="J203" s="108">
        <v>0</v>
      </c>
      <c r="K203" s="379"/>
      <c r="L203" s="358"/>
    </row>
    <row r="204" spans="1:12" ht="13.5" customHeight="1" hidden="1">
      <c r="A204" s="456"/>
      <c r="B204" s="456" t="s">
        <v>42</v>
      </c>
      <c r="C204" s="103" t="s">
        <v>8</v>
      </c>
      <c r="D204" s="465" t="s">
        <v>81</v>
      </c>
      <c r="E204" s="178">
        <f t="shared" si="10"/>
        <v>0</v>
      </c>
      <c r="F204" s="103">
        <v>0</v>
      </c>
      <c r="G204" s="86">
        <v>0</v>
      </c>
      <c r="H204" s="86">
        <v>0</v>
      </c>
      <c r="I204" s="103">
        <v>0</v>
      </c>
      <c r="J204" s="104">
        <v>0</v>
      </c>
      <c r="K204" s="379"/>
      <c r="L204" s="358"/>
    </row>
    <row r="205" spans="1:12" ht="13.5" customHeight="1" hidden="1">
      <c r="A205" s="457"/>
      <c r="B205" s="457"/>
      <c r="C205" s="105" t="s">
        <v>10</v>
      </c>
      <c r="D205" s="466"/>
      <c r="E205" s="179">
        <f t="shared" si="10"/>
        <v>0</v>
      </c>
      <c r="F205" s="105">
        <v>0</v>
      </c>
      <c r="G205" s="87">
        <v>0</v>
      </c>
      <c r="H205" s="87">
        <v>0</v>
      </c>
      <c r="I205" s="105">
        <v>0</v>
      </c>
      <c r="J205" s="106">
        <v>0</v>
      </c>
      <c r="K205" s="379"/>
      <c r="L205" s="358"/>
    </row>
    <row r="206" spans="1:12" ht="13.5" customHeight="1" hidden="1">
      <c r="A206" s="458"/>
      <c r="B206" s="458"/>
      <c r="C206" s="107" t="s">
        <v>11</v>
      </c>
      <c r="D206" s="467"/>
      <c r="E206" s="181">
        <f t="shared" si="10"/>
        <v>0</v>
      </c>
      <c r="F206" s="107">
        <v>0</v>
      </c>
      <c r="G206" s="88">
        <v>0</v>
      </c>
      <c r="H206" s="88">
        <v>0</v>
      </c>
      <c r="I206" s="107">
        <v>0</v>
      </c>
      <c r="J206" s="108">
        <v>0</v>
      </c>
      <c r="K206" s="379"/>
      <c r="L206" s="358"/>
    </row>
    <row r="207" spans="1:12" ht="13.5" customHeight="1" hidden="1">
      <c r="A207" s="456"/>
      <c r="B207" s="456" t="s">
        <v>40</v>
      </c>
      <c r="C207" s="103" t="s">
        <v>8</v>
      </c>
      <c r="D207" s="465" t="s">
        <v>80</v>
      </c>
      <c r="E207" s="178">
        <f t="shared" si="10"/>
        <v>0</v>
      </c>
      <c r="F207" s="103">
        <v>0</v>
      </c>
      <c r="G207" s="103">
        <v>0</v>
      </c>
      <c r="H207" s="86">
        <v>0</v>
      </c>
      <c r="I207" s="86">
        <v>0</v>
      </c>
      <c r="J207" s="104" t="s">
        <v>94</v>
      </c>
      <c r="K207" s="379"/>
      <c r="L207" s="358"/>
    </row>
    <row r="208" spans="1:12" ht="13.5" customHeight="1" hidden="1">
      <c r="A208" s="457"/>
      <c r="B208" s="457"/>
      <c r="C208" s="105" t="s">
        <v>10</v>
      </c>
      <c r="D208" s="466"/>
      <c r="E208" s="179">
        <f t="shared" si="10"/>
        <v>0</v>
      </c>
      <c r="F208" s="105">
        <v>0</v>
      </c>
      <c r="G208" s="105">
        <v>0</v>
      </c>
      <c r="H208" s="105">
        <v>0</v>
      </c>
      <c r="I208" s="105">
        <v>0</v>
      </c>
      <c r="J208" s="106">
        <v>0</v>
      </c>
      <c r="K208" s="379"/>
      <c r="L208" s="358"/>
    </row>
    <row r="209" spans="1:12" ht="13.5" customHeight="1" hidden="1">
      <c r="A209" s="458"/>
      <c r="B209" s="458"/>
      <c r="C209" s="107" t="s">
        <v>11</v>
      </c>
      <c r="D209" s="467"/>
      <c r="E209" s="181">
        <f t="shared" si="10"/>
        <v>0</v>
      </c>
      <c r="F209" s="107">
        <v>0</v>
      </c>
      <c r="G209" s="107">
        <v>0</v>
      </c>
      <c r="H209" s="107">
        <v>0</v>
      </c>
      <c r="I209" s="107">
        <v>0</v>
      </c>
      <c r="J209" s="108">
        <v>0</v>
      </c>
      <c r="K209" s="379"/>
      <c r="L209" s="358"/>
    </row>
    <row r="210" spans="1:13" ht="13.5" customHeight="1" hidden="1">
      <c r="A210" s="456"/>
      <c r="B210" s="456" t="s">
        <v>41</v>
      </c>
      <c r="C210" s="103" t="s">
        <v>8</v>
      </c>
      <c r="D210" s="465">
        <f>E210+E211+E212</f>
        <v>0</v>
      </c>
      <c r="E210" s="178">
        <f t="shared" si="10"/>
        <v>0</v>
      </c>
      <c r="F210" s="103">
        <v>0</v>
      </c>
      <c r="G210" s="103">
        <v>0</v>
      </c>
      <c r="H210" s="103">
        <v>0</v>
      </c>
      <c r="I210" s="103">
        <v>0</v>
      </c>
      <c r="J210" s="104">
        <v>0</v>
      </c>
      <c r="K210" s="379"/>
      <c r="L210" s="358"/>
      <c r="M210" s="7"/>
    </row>
    <row r="211" spans="1:12" ht="13.5" customHeight="1" hidden="1">
      <c r="A211" s="457"/>
      <c r="B211" s="457"/>
      <c r="C211" s="105" t="s">
        <v>10</v>
      </c>
      <c r="D211" s="466"/>
      <c r="E211" s="179">
        <f t="shared" si="10"/>
        <v>0</v>
      </c>
      <c r="F211" s="105">
        <v>0</v>
      </c>
      <c r="G211" s="105">
        <v>0</v>
      </c>
      <c r="H211" s="105">
        <v>0</v>
      </c>
      <c r="I211" s="105">
        <v>0</v>
      </c>
      <c r="J211" s="106">
        <v>0</v>
      </c>
      <c r="K211" s="379"/>
      <c r="L211" s="358"/>
    </row>
    <row r="212" spans="1:12" ht="13.5" customHeight="1" hidden="1">
      <c r="A212" s="458"/>
      <c r="B212" s="458"/>
      <c r="C212" s="107" t="s">
        <v>11</v>
      </c>
      <c r="D212" s="467"/>
      <c r="E212" s="181">
        <f t="shared" si="10"/>
        <v>0</v>
      </c>
      <c r="F212" s="107">
        <v>0</v>
      </c>
      <c r="G212" s="107">
        <v>0</v>
      </c>
      <c r="H212" s="107">
        <v>0</v>
      </c>
      <c r="I212" s="107">
        <v>0</v>
      </c>
      <c r="J212" s="108">
        <v>0</v>
      </c>
      <c r="K212" s="379"/>
      <c r="L212" s="358"/>
    </row>
    <row r="213" spans="1:12" ht="13.5" customHeight="1">
      <c r="A213" s="360" t="s">
        <v>142</v>
      </c>
      <c r="B213" s="363" t="s">
        <v>69</v>
      </c>
      <c r="C213" s="77" t="s">
        <v>8</v>
      </c>
      <c r="D213" s="453">
        <f>D216+D219+D222</f>
        <v>4244000</v>
      </c>
      <c r="E213" s="175">
        <f t="shared" si="10"/>
        <v>0</v>
      </c>
      <c r="F213" s="77">
        <f>F216+F219+F222</f>
        <v>0</v>
      </c>
      <c r="G213" s="77">
        <f>G216+G219+G222</f>
        <v>0</v>
      </c>
      <c r="H213" s="77">
        <f>H216+H219+H222</f>
        <v>0</v>
      </c>
      <c r="I213" s="77">
        <f>I216+I219+I222</f>
        <v>0</v>
      </c>
      <c r="J213" s="78">
        <f>J216+J219+J222</f>
        <v>0</v>
      </c>
      <c r="K213" s="379"/>
      <c r="L213" s="358"/>
    </row>
    <row r="214" spans="1:12" ht="12.75">
      <c r="A214" s="361"/>
      <c r="B214" s="364"/>
      <c r="C214" s="79" t="s">
        <v>10</v>
      </c>
      <c r="D214" s="454"/>
      <c r="E214" s="176">
        <f t="shared" si="10"/>
        <v>0</v>
      </c>
      <c r="F214" s="79">
        <f>F217+F220+F223</f>
        <v>0</v>
      </c>
      <c r="G214" s="79">
        <f aca="true" t="shared" si="12" ref="G214:J215">G217+G220+G223</f>
        <v>0</v>
      </c>
      <c r="H214" s="79">
        <f t="shared" si="12"/>
        <v>0</v>
      </c>
      <c r="I214" s="79">
        <f t="shared" si="12"/>
        <v>0</v>
      </c>
      <c r="J214" s="80">
        <f t="shared" si="12"/>
        <v>0</v>
      </c>
      <c r="K214" s="379"/>
      <c r="L214" s="358"/>
    </row>
    <row r="215" spans="1:12" ht="20.25" customHeight="1" thickBot="1">
      <c r="A215" s="362"/>
      <c r="B215" s="365"/>
      <c r="C215" s="81" t="s">
        <v>11</v>
      </c>
      <c r="D215" s="455"/>
      <c r="E215" s="177">
        <f t="shared" si="10"/>
        <v>0</v>
      </c>
      <c r="F215" s="81">
        <f>F218+F221+F224</f>
        <v>0</v>
      </c>
      <c r="G215" s="81">
        <f t="shared" si="12"/>
        <v>0</v>
      </c>
      <c r="H215" s="81">
        <f t="shared" si="12"/>
        <v>0</v>
      </c>
      <c r="I215" s="81">
        <f t="shared" si="12"/>
        <v>0</v>
      </c>
      <c r="J215" s="82">
        <f t="shared" si="12"/>
        <v>0</v>
      </c>
      <c r="K215" s="379"/>
      <c r="L215" s="358"/>
    </row>
    <row r="216" spans="1:12" ht="13.5" customHeight="1" hidden="1">
      <c r="A216" s="456"/>
      <c r="B216" s="456" t="s">
        <v>47</v>
      </c>
      <c r="C216" s="103" t="s">
        <v>8</v>
      </c>
      <c r="D216" s="465" t="s">
        <v>76</v>
      </c>
      <c r="E216" s="178">
        <f t="shared" si="10"/>
        <v>0</v>
      </c>
      <c r="F216" s="103">
        <v>0</v>
      </c>
      <c r="G216" s="103">
        <v>0</v>
      </c>
      <c r="H216" s="103">
        <v>0</v>
      </c>
      <c r="I216" s="103">
        <v>0</v>
      </c>
      <c r="J216" s="104">
        <v>0</v>
      </c>
      <c r="K216" s="379"/>
      <c r="L216" s="358"/>
    </row>
    <row r="217" spans="1:12" ht="13.5" customHeight="1" hidden="1">
      <c r="A217" s="457"/>
      <c r="B217" s="457"/>
      <c r="C217" s="105" t="s">
        <v>10</v>
      </c>
      <c r="D217" s="466"/>
      <c r="E217" s="179">
        <f t="shared" si="10"/>
        <v>0</v>
      </c>
      <c r="F217" s="105">
        <v>0</v>
      </c>
      <c r="G217" s="105">
        <v>0</v>
      </c>
      <c r="H217" s="105">
        <v>0</v>
      </c>
      <c r="I217" s="105">
        <v>0</v>
      </c>
      <c r="J217" s="106">
        <v>0</v>
      </c>
      <c r="K217" s="379"/>
      <c r="L217" s="358"/>
    </row>
    <row r="218" spans="1:12" ht="12" customHeight="1" hidden="1">
      <c r="A218" s="458"/>
      <c r="B218" s="458"/>
      <c r="C218" s="107" t="s">
        <v>11</v>
      </c>
      <c r="D218" s="467"/>
      <c r="E218" s="181">
        <f t="shared" si="10"/>
        <v>0</v>
      </c>
      <c r="F218" s="107">
        <v>0</v>
      </c>
      <c r="G218" s="107">
        <v>0</v>
      </c>
      <c r="H218" s="107">
        <v>0</v>
      </c>
      <c r="I218" s="107">
        <v>0</v>
      </c>
      <c r="J218" s="108">
        <v>0</v>
      </c>
      <c r="K218" s="379"/>
      <c r="L218" s="358"/>
    </row>
    <row r="219" spans="1:13" ht="13.5" customHeight="1" hidden="1">
      <c r="A219" s="456"/>
      <c r="B219" s="456" t="s">
        <v>46</v>
      </c>
      <c r="C219" s="103" t="s">
        <v>8</v>
      </c>
      <c r="D219" s="465" t="s">
        <v>77</v>
      </c>
      <c r="E219" s="178">
        <f t="shared" si="10"/>
        <v>0</v>
      </c>
      <c r="F219" s="103">
        <v>0</v>
      </c>
      <c r="G219" s="103">
        <v>0</v>
      </c>
      <c r="H219" s="103">
        <v>0</v>
      </c>
      <c r="I219" s="103">
        <v>0</v>
      </c>
      <c r="J219" s="104">
        <v>0</v>
      </c>
      <c r="K219" s="379"/>
      <c r="L219" s="358"/>
      <c r="M219" s="7"/>
    </row>
    <row r="220" spans="1:12" ht="13.5" customHeight="1" hidden="1">
      <c r="A220" s="457"/>
      <c r="B220" s="457"/>
      <c r="C220" s="105" t="s">
        <v>10</v>
      </c>
      <c r="D220" s="466"/>
      <c r="E220" s="179">
        <f t="shared" si="10"/>
        <v>0</v>
      </c>
      <c r="F220" s="105">
        <v>0</v>
      </c>
      <c r="G220" s="105">
        <v>0</v>
      </c>
      <c r="H220" s="105">
        <v>0</v>
      </c>
      <c r="I220" s="105">
        <v>0</v>
      </c>
      <c r="J220" s="106">
        <v>0</v>
      </c>
      <c r="K220" s="379"/>
      <c r="L220" s="358"/>
    </row>
    <row r="221" spans="1:12" ht="13.5" customHeight="1" hidden="1">
      <c r="A221" s="458"/>
      <c r="B221" s="458"/>
      <c r="C221" s="107" t="s">
        <v>11</v>
      </c>
      <c r="D221" s="467"/>
      <c r="E221" s="181">
        <f t="shared" si="10"/>
        <v>0</v>
      </c>
      <c r="F221" s="107">
        <v>0</v>
      </c>
      <c r="G221" s="107"/>
      <c r="H221" s="107">
        <v>0</v>
      </c>
      <c r="I221" s="107">
        <v>0</v>
      </c>
      <c r="J221" s="108">
        <v>0</v>
      </c>
      <c r="K221" s="379"/>
      <c r="L221" s="358"/>
    </row>
    <row r="222" spans="1:12" ht="13.5" customHeight="1" hidden="1">
      <c r="A222" s="456"/>
      <c r="B222" s="456" t="s">
        <v>39</v>
      </c>
      <c r="C222" s="103" t="s">
        <v>8</v>
      </c>
      <c r="D222" s="462" t="s">
        <v>78</v>
      </c>
      <c r="E222" s="178">
        <f t="shared" si="10"/>
        <v>0</v>
      </c>
      <c r="F222" s="103">
        <v>0</v>
      </c>
      <c r="G222" s="103">
        <v>0</v>
      </c>
      <c r="H222" s="103">
        <v>0</v>
      </c>
      <c r="I222" s="103">
        <v>0</v>
      </c>
      <c r="J222" s="104">
        <v>0</v>
      </c>
      <c r="K222" s="379"/>
      <c r="L222" s="358"/>
    </row>
    <row r="223" spans="1:12" ht="13.5" customHeight="1" hidden="1">
      <c r="A223" s="457"/>
      <c r="B223" s="457"/>
      <c r="C223" s="105" t="s">
        <v>10</v>
      </c>
      <c r="D223" s="463"/>
      <c r="E223" s="179">
        <f t="shared" si="10"/>
        <v>0</v>
      </c>
      <c r="F223" s="105">
        <v>0</v>
      </c>
      <c r="G223" s="105">
        <v>0</v>
      </c>
      <c r="H223" s="105">
        <v>0</v>
      </c>
      <c r="I223" s="105">
        <v>0</v>
      </c>
      <c r="J223" s="106">
        <v>0</v>
      </c>
      <c r="K223" s="379"/>
      <c r="L223" s="358"/>
    </row>
    <row r="224" spans="1:12" ht="13.5" customHeight="1" hidden="1">
      <c r="A224" s="458"/>
      <c r="B224" s="458"/>
      <c r="C224" s="107" t="s">
        <v>11</v>
      </c>
      <c r="D224" s="464"/>
      <c r="E224" s="181">
        <f t="shared" si="10"/>
        <v>0</v>
      </c>
      <c r="F224" s="107">
        <v>0</v>
      </c>
      <c r="G224" s="107">
        <v>0</v>
      </c>
      <c r="H224" s="107">
        <v>0</v>
      </c>
      <c r="I224" s="107">
        <v>0</v>
      </c>
      <c r="J224" s="108">
        <v>0</v>
      </c>
      <c r="K224" s="379"/>
      <c r="L224" s="358"/>
    </row>
    <row r="225" spans="1:12" ht="13.5" customHeight="1">
      <c r="A225" s="360" t="s">
        <v>143</v>
      </c>
      <c r="B225" s="363" t="s">
        <v>70</v>
      </c>
      <c r="C225" s="77" t="s">
        <v>8</v>
      </c>
      <c r="D225" s="453">
        <f>D228+D231+D234</f>
        <v>5805100</v>
      </c>
      <c r="E225" s="175">
        <f t="shared" si="10"/>
        <v>0</v>
      </c>
      <c r="F225" s="77">
        <f aca="true" t="shared" si="13" ref="F225:J227">F228+F231+F234</f>
        <v>0</v>
      </c>
      <c r="G225" s="77">
        <f t="shared" si="13"/>
        <v>0</v>
      </c>
      <c r="H225" s="77">
        <f t="shared" si="13"/>
        <v>0</v>
      </c>
      <c r="I225" s="77">
        <f t="shared" si="13"/>
        <v>0</v>
      </c>
      <c r="J225" s="78">
        <f t="shared" si="13"/>
        <v>0</v>
      </c>
      <c r="K225" s="379"/>
      <c r="L225" s="358"/>
    </row>
    <row r="226" spans="1:12" ht="12.75">
      <c r="A226" s="361"/>
      <c r="B226" s="364"/>
      <c r="C226" s="79" t="s">
        <v>10</v>
      </c>
      <c r="D226" s="454"/>
      <c r="E226" s="176">
        <f t="shared" si="10"/>
        <v>0</v>
      </c>
      <c r="F226" s="79">
        <f t="shared" si="13"/>
        <v>0</v>
      </c>
      <c r="G226" s="79">
        <f t="shared" si="13"/>
        <v>0</v>
      </c>
      <c r="H226" s="79">
        <f t="shared" si="13"/>
        <v>0</v>
      </c>
      <c r="I226" s="79">
        <f t="shared" si="13"/>
        <v>0</v>
      </c>
      <c r="J226" s="80">
        <f t="shared" si="13"/>
        <v>0</v>
      </c>
      <c r="K226" s="379"/>
      <c r="L226" s="358"/>
    </row>
    <row r="227" spans="1:12" ht="19.5" customHeight="1" thickBot="1">
      <c r="A227" s="362"/>
      <c r="B227" s="365"/>
      <c r="C227" s="81" t="s">
        <v>11</v>
      </c>
      <c r="D227" s="455"/>
      <c r="E227" s="177">
        <f t="shared" si="10"/>
        <v>0</v>
      </c>
      <c r="F227" s="81">
        <f t="shared" si="13"/>
        <v>0</v>
      </c>
      <c r="G227" s="81">
        <f t="shared" si="13"/>
        <v>0</v>
      </c>
      <c r="H227" s="81">
        <f t="shared" si="13"/>
        <v>0</v>
      </c>
      <c r="I227" s="81">
        <f t="shared" si="13"/>
        <v>0</v>
      </c>
      <c r="J227" s="82">
        <f t="shared" si="13"/>
        <v>0</v>
      </c>
      <c r="K227" s="379"/>
      <c r="L227" s="358"/>
    </row>
    <row r="228" spans="1:12" ht="16.5" customHeight="1" hidden="1">
      <c r="A228" s="456"/>
      <c r="B228" s="456" t="s">
        <v>45</v>
      </c>
      <c r="C228" s="103" t="s">
        <v>8</v>
      </c>
      <c r="D228" s="465" t="s">
        <v>79</v>
      </c>
      <c r="E228" s="178">
        <f t="shared" si="10"/>
        <v>0</v>
      </c>
      <c r="F228" s="103">
        <v>0</v>
      </c>
      <c r="G228" s="103">
        <v>0</v>
      </c>
      <c r="H228" s="103">
        <v>0</v>
      </c>
      <c r="I228" s="103">
        <v>0</v>
      </c>
      <c r="J228" s="104">
        <v>0</v>
      </c>
      <c r="K228" s="379"/>
      <c r="L228" s="358"/>
    </row>
    <row r="229" spans="1:12" ht="13.5" customHeight="1" hidden="1">
      <c r="A229" s="457"/>
      <c r="B229" s="457"/>
      <c r="C229" s="105" t="s">
        <v>10</v>
      </c>
      <c r="D229" s="466"/>
      <c r="E229" s="179">
        <f t="shared" si="10"/>
        <v>0</v>
      </c>
      <c r="F229" s="105">
        <v>0</v>
      </c>
      <c r="G229" s="105">
        <v>0</v>
      </c>
      <c r="H229" s="105">
        <v>0</v>
      </c>
      <c r="I229" s="105">
        <v>0</v>
      </c>
      <c r="J229" s="106">
        <v>0</v>
      </c>
      <c r="K229" s="379"/>
      <c r="L229" s="358"/>
    </row>
    <row r="230" spans="1:12" ht="13.5" customHeight="1" hidden="1">
      <c r="A230" s="458"/>
      <c r="B230" s="458"/>
      <c r="C230" s="107" t="s">
        <v>11</v>
      </c>
      <c r="D230" s="467"/>
      <c r="E230" s="181">
        <f t="shared" si="10"/>
        <v>0</v>
      </c>
      <c r="F230" s="107">
        <v>0</v>
      </c>
      <c r="G230" s="107">
        <v>0</v>
      </c>
      <c r="H230" s="107">
        <v>0</v>
      </c>
      <c r="I230" s="107">
        <v>0</v>
      </c>
      <c r="J230" s="108">
        <v>0</v>
      </c>
      <c r="K230" s="379"/>
      <c r="L230" s="358"/>
    </row>
    <row r="231" spans="1:13" ht="14.25" customHeight="1" hidden="1">
      <c r="A231" s="456"/>
      <c r="B231" s="456" t="s">
        <v>46</v>
      </c>
      <c r="C231" s="103" t="s">
        <v>8</v>
      </c>
      <c r="D231" s="465" t="s">
        <v>84</v>
      </c>
      <c r="E231" s="178">
        <f t="shared" si="10"/>
        <v>0</v>
      </c>
      <c r="F231" s="103">
        <v>0</v>
      </c>
      <c r="G231" s="103">
        <v>0</v>
      </c>
      <c r="H231" s="103">
        <v>0</v>
      </c>
      <c r="I231" s="103">
        <v>0</v>
      </c>
      <c r="J231" s="104">
        <v>0</v>
      </c>
      <c r="K231" s="379"/>
      <c r="L231" s="358"/>
      <c r="M231" s="7"/>
    </row>
    <row r="232" spans="1:13" ht="11.25" customHeight="1" hidden="1">
      <c r="A232" s="457"/>
      <c r="B232" s="457"/>
      <c r="C232" s="105" t="s">
        <v>10</v>
      </c>
      <c r="D232" s="466"/>
      <c r="E232" s="179">
        <f t="shared" si="10"/>
        <v>0</v>
      </c>
      <c r="F232" s="105">
        <v>0</v>
      </c>
      <c r="G232" s="105">
        <v>0</v>
      </c>
      <c r="H232" s="105">
        <v>0</v>
      </c>
      <c r="I232" s="105">
        <v>0</v>
      </c>
      <c r="J232" s="106">
        <v>0</v>
      </c>
      <c r="K232" s="379"/>
      <c r="L232" s="358"/>
      <c r="M232" s="7"/>
    </row>
    <row r="233" spans="1:13" ht="15" customHeight="1" hidden="1">
      <c r="A233" s="458"/>
      <c r="B233" s="458"/>
      <c r="C233" s="107" t="s">
        <v>11</v>
      </c>
      <c r="D233" s="467"/>
      <c r="E233" s="181">
        <f t="shared" si="10"/>
        <v>0</v>
      </c>
      <c r="F233" s="107">
        <v>0</v>
      </c>
      <c r="G233" s="107">
        <v>0</v>
      </c>
      <c r="H233" s="107">
        <v>0</v>
      </c>
      <c r="I233" s="107">
        <v>0</v>
      </c>
      <c r="J233" s="108">
        <v>0</v>
      </c>
      <c r="K233" s="379"/>
      <c r="L233" s="358"/>
      <c r="M233" s="7"/>
    </row>
    <row r="234" spans="1:13" ht="13.5" customHeight="1" hidden="1">
      <c r="A234" s="456"/>
      <c r="B234" s="456" t="s">
        <v>39</v>
      </c>
      <c r="C234" s="103" t="s">
        <v>8</v>
      </c>
      <c r="D234" s="465" t="s">
        <v>85</v>
      </c>
      <c r="E234" s="178">
        <f t="shared" si="10"/>
        <v>0</v>
      </c>
      <c r="F234" s="86">
        <v>0</v>
      </c>
      <c r="G234" s="86">
        <v>0</v>
      </c>
      <c r="H234" s="86">
        <v>0</v>
      </c>
      <c r="I234" s="86">
        <v>0</v>
      </c>
      <c r="J234" s="104">
        <v>0</v>
      </c>
      <c r="K234" s="379"/>
      <c r="L234" s="358"/>
      <c r="M234" s="7"/>
    </row>
    <row r="235" spans="1:13" ht="13.5" customHeight="1" hidden="1">
      <c r="A235" s="457"/>
      <c r="B235" s="457"/>
      <c r="C235" s="105" t="s">
        <v>10</v>
      </c>
      <c r="D235" s="466"/>
      <c r="E235" s="179">
        <f t="shared" si="10"/>
        <v>0</v>
      </c>
      <c r="F235" s="87">
        <v>0</v>
      </c>
      <c r="G235" s="87">
        <v>0</v>
      </c>
      <c r="H235" s="87">
        <v>0</v>
      </c>
      <c r="I235" s="87">
        <v>0</v>
      </c>
      <c r="J235" s="106">
        <v>0</v>
      </c>
      <c r="K235" s="379"/>
      <c r="L235" s="358"/>
      <c r="M235" s="7"/>
    </row>
    <row r="236" spans="1:13" ht="13.5" customHeight="1" hidden="1">
      <c r="A236" s="458"/>
      <c r="B236" s="458"/>
      <c r="C236" s="107" t="s">
        <v>11</v>
      </c>
      <c r="D236" s="467"/>
      <c r="E236" s="181">
        <f t="shared" si="10"/>
        <v>0</v>
      </c>
      <c r="F236" s="88">
        <v>0</v>
      </c>
      <c r="G236" s="88">
        <v>0</v>
      </c>
      <c r="H236" s="88">
        <v>0</v>
      </c>
      <c r="I236" s="88">
        <v>0</v>
      </c>
      <c r="J236" s="108">
        <v>0</v>
      </c>
      <c r="K236" s="379"/>
      <c r="L236" s="358"/>
      <c r="M236" s="7"/>
    </row>
    <row r="237" spans="1:13" ht="13.5" customHeight="1">
      <c r="A237" s="360" t="s">
        <v>144</v>
      </c>
      <c r="B237" s="363" t="s">
        <v>71</v>
      </c>
      <c r="C237" s="77" t="s">
        <v>8</v>
      </c>
      <c r="D237" s="453">
        <f>D240+D243+D246</f>
        <v>4784000</v>
      </c>
      <c r="E237" s="175">
        <f t="shared" si="10"/>
        <v>0</v>
      </c>
      <c r="F237" s="77">
        <f aca="true" t="shared" si="14" ref="F237:J239">F240+F243+F246</f>
        <v>0</v>
      </c>
      <c r="G237" s="77">
        <f t="shared" si="14"/>
        <v>0</v>
      </c>
      <c r="H237" s="77">
        <f t="shared" si="14"/>
        <v>0</v>
      </c>
      <c r="I237" s="77">
        <f t="shared" si="14"/>
        <v>0</v>
      </c>
      <c r="J237" s="78">
        <f t="shared" si="14"/>
        <v>0</v>
      </c>
      <c r="K237" s="379"/>
      <c r="L237" s="358"/>
      <c r="M237" s="7"/>
    </row>
    <row r="238" spans="1:13" ht="12.75">
      <c r="A238" s="361"/>
      <c r="B238" s="364"/>
      <c r="C238" s="79" t="s">
        <v>10</v>
      </c>
      <c r="D238" s="454"/>
      <c r="E238" s="176">
        <f t="shared" si="10"/>
        <v>0</v>
      </c>
      <c r="F238" s="79">
        <f t="shared" si="14"/>
        <v>0</v>
      </c>
      <c r="G238" s="79">
        <f t="shared" si="14"/>
        <v>0</v>
      </c>
      <c r="H238" s="79">
        <f t="shared" si="14"/>
        <v>0</v>
      </c>
      <c r="I238" s="79">
        <f t="shared" si="14"/>
        <v>0</v>
      </c>
      <c r="J238" s="80">
        <f t="shared" si="14"/>
        <v>0</v>
      </c>
      <c r="K238" s="379"/>
      <c r="L238" s="358"/>
      <c r="M238" s="7"/>
    </row>
    <row r="239" spans="1:13" ht="11.25" customHeight="1" thickBot="1">
      <c r="A239" s="362"/>
      <c r="B239" s="365"/>
      <c r="C239" s="81" t="s">
        <v>11</v>
      </c>
      <c r="D239" s="455"/>
      <c r="E239" s="177">
        <f t="shared" si="10"/>
        <v>0</v>
      </c>
      <c r="F239" s="81">
        <f t="shared" si="14"/>
        <v>0</v>
      </c>
      <c r="G239" s="81">
        <f t="shared" si="14"/>
        <v>0</v>
      </c>
      <c r="H239" s="81">
        <f t="shared" si="14"/>
        <v>0</v>
      </c>
      <c r="I239" s="81">
        <f t="shared" si="14"/>
        <v>0</v>
      </c>
      <c r="J239" s="82">
        <f t="shared" si="14"/>
        <v>0</v>
      </c>
      <c r="K239" s="379"/>
      <c r="L239" s="358"/>
      <c r="M239" s="7"/>
    </row>
    <row r="240" spans="1:13" ht="13.5" customHeight="1" hidden="1">
      <c r="A240" s="456"/>
      <c r="B240" s="456" t="s">
        <v>47</v>
      </c>
      <c r="C240" s="103" t="s">
        <v>8</v>
      </c>
      <c r="D240" s="465" t="s">
        <v>86</v>
      </c>
      <c r="E240" s="178">
        <f t="shared" si="10"/>
        <v>0</v>
      </c>
      <c r="F240" s="103">
        <v>0</v>
      </c>
      <c r="G240" s="103">
        <v>0</v>
      </c>
      <c r="H240" s="103">
        <v>0</v>
      </c>
      <c r="I240" s="103">
        <v>0</v>
      </c>
      <c r="J240" s="104">
        <v>0</v>
      </c>
      <c r="K240" s="379"/>
      <c r="L240" s="358"/>
      <c r="M240" s="7"/>
    </row>
    <row r="241" spans="1:14" ht="13.5" customHeight="1" hidden="1">
      <c r="A241" s="457"/>
      <c r="B241" s="457"/>
      <c r="C241" s="105" t="s">
        <v>10</v>
      </c>
      <c r="D241" s="466"/>
      <c r="E241" s="179">
        <f t="shared" si="10"/>
        <v>0</v>
      </c>
      <c r="F241" s="105">
        <v>0</v>
      </c>
      <c r="G241" s="105">
        <v>0</v>
      </c>
      <c r="H241" s="105">
        <v>0</v>
      </c>
      <c r="I241" s="105">
        <v>0</v>
      </c>
      <c r="J241" s="106">
        <v>0</v>
      </c>
      <c r="K241" s="379"/>
      <c r="L241" s="358"/>
      <c r="M241" s="7"/>
      <c r="N241" s="7"/>
    </row>
    <row r="242" spans="1:13" ht="13.5" customHeight="1" hidden="1">
      <c r="A242" s="458"/>
      <c r="B242" s="458"/>
      <c r="C242" s="107" t="s">
        <v>11</v>
      </c>
      <c r="D242" s="467"/>
      <c r="E242" s="181">
        <f t="shared" si="10"/>
        <v>0</v>
      </c>
      <c r="F242" s="107">
        <v>0</v>
      </c>
      <c r="G242" s="107">
        <v>0</v>
      </c>
      <c r="H242" s="107"/>
      <c r="I242" s="107">
        <v>0</v>
      </c>
      <c r="J242" s="108">
        <v>0</v>
      </c>
      <c r="K242" s="379"/>
      <c r="L242" s="358"/>
      <c r="M242" s="7"/>
    </row>
    <row r="243" spans="1:13" ht="13.5" customHeight="1" hidden="1">
      <c r="A243" s="456"/>
      <c r="B243" s="456" t="s">
        <v>46</v>
      </c>
      <c r="C243" s="103" t="s">
        <v>8</v>
      </c>
      <c r="D243" s="465" t="s">
        <v>87</v>
      </c>
      <c r="E243" s="178">
        <f t="shared" si="10"/>
        <v>0</v>
      </c>
      <c r="F243" s="103">
        <v>0</v>
      </c>
      <c r="G243" s="103">
        <v>0</v>
      </c>
      <c r="H243" s="103">
        <v>0</v>
      </c>
      <c r="I243" s="103">
        <v>0</v>
      </c>
      <c r="J243" s="104">
        <v>0</v>
      </c>
      <c r="K243" s="379"/>
      <c r="L243" s="358"/>
      <c r="M243" s="7"/>
    </row>
    <row r="244" spans="1:13" ht="13.5" customHeight="1" hidden="1">
      <c r="A244" s="457"/>
      <c r="B244" s="457"/>
      <c r="C244" s="105" t="s">
        <v>10</v>
      </c>
      <c r="D244" s="466"/>
      <c r="E244" s="179">
        <f t="shared" si="10"/>
        <v>0</v>
      </c>
      <c r="F244" s="105">
        <v>0</v>
      </c>
      <c r="G244" s="105">
        <v>0</v>
      </c>
      <c r="H244" s="105">
        <v>0</v>
      </c>
      <c r="I244" s="105">
        <v>0</v>
      </c>
      <c r="J244" s="106">
        <v>0</v>
      </c>
      <c r="K244" s="379"/>
      <c r="L244" s="358"/>
      <c r="M244" s="7"/>
    </row>
    <row r="245" spans="1:13" ht="13.5" customHeight="1" hidden="1">
      <c r="A245" s="458"/>
      <c r="B245" s="458"/>
      <c r="C245" s="107" t="s">
        <v>11</v>
      </c>
      <c r="D245" s="467"/>
      <c r="E245" s="181">
        <f t="shared" si="10"/>
        <v>0</v>
      </c>
      <c r="F245" s="107">
        <v>0</v>
      </c>
      <c r="G245" s="107">
        <v>0</v>
      </c>
      <c r="H245" s="107">
        <v>0</v>
      </c>
      <c r="I245" s="107">
        <v>0</v>
      </c>
      <c r="J245" s="108">
        <v>0</v>
      </c>
      <c r="K245" s="379"/>
      <c r="L245" s="358"/>
      <c r="M245" s="7"/>
    </row>
    <row r="246" spans="1:12" ht="13.5" customHeight="1" hidden="1">
      <c r="A246" s="456"/>
      <c r="B246" s="456" t="s">
        <v>39</v>
      </c>
      <c r="C246" s="103" t="s">
        <v>8</v>
      </c>
      <c r="D246" s="465" t="s">
        <v>88</v>
      </c>
      <c r="E246" s="178">
        <f t="shared" si="10"/>
        <v>0</v>
      </c>
      <c r="F246" s="103">
        <v>0</v>
      </c>
      <c r="G246" s="86">
        <v>0</v>
      </c>
      <c r="H246" s="86">
        <v>0</v>
      </c>
      <c r="I246" s="103">
        <v>0</v>
      </c>
      <c r="J246" s="104">
        <v>0</v>
      </c>
      <c r="K246" s="379"/>
      <c r="L246" s="358"/>
    </row>
    <row r="247" spans="1:12" ht="13.5" customHeight="1" hidden="1">
      <c r="A247" s="457"/>
      <c r="B247" s="457"/>
      <c r="C247" s="105" t="s">
        <v>10</v>
      </c>
      <c r="D247" s="466"/>
      <c r="E247" s="179">
        <f t="shared" si="10"/>
        <v>0</v>
      </c>
      <c r="F247" s="105">
        <v>0</v>
      </c>
      <c r="G247" s="87">
        <v>0</v>
      </c>
      <c r="H247" s="87">
        <v>0</v>
      </c>
      <c r="I247" s="105">
        <v>0</v>
      </c>
      <c r="J247" s="106">
        <v>0</v>
      </c>
      <c r="K247" s="379"/>
      <c r="L247" s="358"/>
    </row>
    <row r="248" spans="1:12" ht="13.5" customHeight="1" hidden="1">
      <c r="A248" s="458"/>
      <c r="B248" s="458"/>
      <c r="C248" s="107" t="s">
        <v>11</v>
      </c>
      <c r="D248" s="467"/>
      <c r="E248" s="181">
        <f t="shared" si="10"/>
        <v>0</v>
      </c>
      <c r="F248" s="107">
        <v>0</v>
      </c>
      <c r="G248" s="88">
        <v>0</v>
      </c>
      <c r="H248" s="88">
        <v>0</v>
      </c>
      <c r="I248" s="107">
        <v>0</v>
      </c>
      <c r="J248" s="96">
        <v>0</v>
      </c>
      <c r="K248" s="379"/>
      <c r="L248" s="358"/>
    </row>
    <row r="249" spans="1:12" ht="13.5" customHeight="1">
      <c r="A249" s="360" t="s">
        <v>145</v>
      </c>
      <c r="B249" s="363" t="s">
        <v>72</v>
      </c>
      <c r="C249" s="77" t="s">
        <v>8</v>
      </c>
      <c r="D249" s="453">
        <f>D252+D255+D258</f>
        <v>4046000</v>
      </c>
      <c r="E249" s="175">
        <f t="shared" si="10"/>
        <v>0</v>
      </c>
      <c r="F249" s="77">
        <f aca="true" t="shared" si="15" ref="F249:J251">F252+F255+F258</f>
        <v>0</v>
      </c>
      <c r="G249" s="77">
        <f t="shared" si="15"/>
        <v>0</v>
      </c>
      <c r="H249" s="77">
        <f t="shared" si="15"/>
        <v>0</v>
      </c>
      <c r="I249" s="77">
        <f t="shared" si="15"/>
        <v>0</v>
      </c>
      <c r="J249" s="78">
        <f t="shared" si="15"/>
        <v>0</v>
      </c>
      <c r="K249" s="379"/>
      <c r="L249" s="358"/>
    </row>
    <row r="250" spans="1:12" ht="12.75">
      <c r="A250" s="361"/>
      <c r="B250" s="364"/>
      <c r="C250" s="79" t="s">
        <v>10</v>
      </c>
      <c r="D250" s="454"/>
      <c r="E250" s="176">
        <f t="shared" si="10"/>
        <v>0</v>
      </c>
      <c r="F250" s="79">
        <f t="shared" si="15"/>
        <v>0</v>
      </c>
      <c r="G250" s="79">
        <f t="shared" si="15"/>
        <v>0</v>
      </c>
      <c r="H250" s="79">
        <f t="shared" si="15"/>
        <v>0</v>
      </c>
      <c r="I250" s="79">
        <f t="shared" si="15"/>
        <v>0</v>
      </c>
      <c r="J250" s="80">
        <f t="shared" si="15"/>
        <v>0</v>
      </c>
      <c r="K250" s="379"/>
      <c r="L250" s="358"/>
    </row>
    <row r="251" spans="1:12" ht="11.25" customHeight="1" thickBot="1">
      <c r="A251" s="362"/>
      <c r="B251" s="365"/>
      <c r="C251" s="81" t="s">
        <v>11</v>
      </c>
      <c r="D251" s="455"/>
      <c r="E251" s="177">
        <f t="shared" si="10"/>
        <v>0</v>
      </c>
      <c r="F251" s="81">
        <f t="shared" si="15"/>
        <v>0</v>
      </c>
      <c r="G251" s="81">
        <f t="shared" si="15"/>
        <v>0</v>
      </c>
      <c r="H251" s="81">
        <f t="shared" si="15"/>
        <v>0</v>
      </c>
      <c r="I251" s="81">
        <f t="shared" si="15"/>
        <v>0</v>
      </c>
      <c r="J251" s="82">
        <f t="shared" si="15"/>
        <v>0</v>
      </c>
      <c r="K251" s="379"/>
      <c r="L251" s="358"/>
    </row>
    <row r="252" spans="1:12" ht="13.5" customHeight="1" hidden="1">
      <c r="A252" s="468"/>
      <c r="B252" s="456" t="s">
        <v>43</v>
      </c>
      <c r="C252" s="103" t="s">
        <v>8</v>
      </c>
      <c r="D252" s="465" t="s">
        <v>89</v>
      </c>
      <c r="E252" s="178">
        <f t="shared" si="10"/>
        <v>0</v>
      </c>
      <c r="F252" s="103">
        <v>0</v>
      </c>
      <c r="G252" s="103">
        <v>0</v>
      </c>
      <c r="H252" s="103">
        <v>0</v>
      </c>
      <c r="I252" s="103">
        <v>0</v>
      </c>
      <c r="J252" s="104">
        <v>0</v>
      </c>
      <c r="K252" s="379"/>
      <c r="L252" s="358"/>
    </row>
    <row r="253" spans="1:12" ht="13.5" customHeight="1" hidden="1">
      <c r="A253" s="469"/>
      <c r="B253" s="457"/>
      <c r="C253" s="105" t="s">
        <v>10</v>
      </c>
      <c r="D253" s="466"/>
      <c r="E253" s="179">
        <f aca="true" t="shared" si="16" ref="E253:E276">SUM(F253:J253)</f>
        <v>0</v>
      </c>
      <c r="F253" s="105">
        <v>0</v>
      </c>
      <c r="G253" s="105">
        <v>0</v>
      </c>
      <c r="H253" s="105">
        <v>0</v>
      </c>
      <c r="I253" s="105">
        <v>0</v>
      </c>
      <c r="J253" s="106">
        <v>0</v>
      </c>
      <c r="K253" s="379"/>
      <c r="L253" s="358"/>
    </row>
    <row r="254" spans="1:12" ht="13.5" customHeight="1" hidden="1">
      <c r="A254" s="470"/>
      <c r="B254" s="458"/>
      <c r="C254" s="107" t="s">
        <v>11</v>
      </c>
      <c r="D254" s="467"/>
      <c r="E254" s="181">
        <f t="shared" si="16"/>
        <v>0</v>
      </c>
      <c r="F254" s="107">
        <v>0</v>
      </c>
      <c r="G254" s="107">
        <v>0</v>
      </c>
      <c r="H254" s="107">
        <v>0</v>
      </c>
      <c r="I254" s="107">
        <v>0</v>
      </c>
      <c r="J254" s="108">
        <v>0</v>
      </c>
      <c r="K254" s="379"/>
      <c r="L254" s="358"/>
    </row>
    <row r="255" spans="1:12" ht="13.5" customHeight="1" hidden="1">
      <c r="A255" s="468"/>
      <c r="B255" s="456" t="s">
        <v>44</v>
      </c>
      <c r="C255" s="103" t="s">
        <v>8</v>
      </c>
      <c r="D255" s="465" t="s">
        <v>90</v>
      </c>
      <c r="E255" s="178">
        <f t="shared" si="16"/>
        <v>0</v>
      </c>
      <c r="F255" s="103">
        <v>0</v>
      </c>
      <c r="G255" s="103">
        <v>0</v>
      </c>
      <c r="H255" s="103">
        <v>0</v>
      </c>
      <c r="I255" s="103">
        <v>0</v>
      </c>
      <c r="J255" s="104">
        <v>0</v>
      </c>
      <c r="K255" s="379"/>
      <c r="L255" s="358"/>
    </row>
    <row r="256" spans="1:12" ht="13.5" customHeight="1" hidden="1">
      <c r="A256" s="469"/>
      <c r="B256" s="457"/>
      <c r="C256" s="105" t="s">
        <v>10</v>
      </c>
      <c r="D256" s="466"/>
      <c r="E256" s="179">
        <f t="shared" si="16"/>
        <v>0</v>
      </c>
      <c r="F256" s="105">
        <v>0</v>
      </c>
      <c r="G256" s="105">
        <v>0</v>
      </c>
      <c r="H256" s="105">
        <v>0</v>
      </c>
      <c r="I256" s="105">
        <v>0</v>
      </c>
      <c r="J256" s="106">
        <v>0</v>
      </c>
      <c r="K256" s="379"/>
      <c r="L256" s="358"/>
    </row>
    <row r="257" spans="1:12" ht="13.5" customHeight="1" hidden="1">
      <c r="A257" s="470"/>
      <c r="B257" s="458"/>
      <c r="C257" s="107" t="s">
        <v>11</v>
      </c>
      <c r="D257" s="467"/>
      <c r="E257" s="181">
        <f t="shared" si="16"/>
        <v>0</v>
      </c>
      <c r="F257" s="107">
        <v>0</v>
      </c>
      <c r="G257" s="107">
        <v>0</v>
      </c>
      <c r="H257" s="107">
        <v>0</v>
      </c>
      <c r="I257" s="107">
        <v>0</v>
      </c>
      <c r="J257" s="108">
        <v>0</v>
      </c>
      <c r="K257" s="379"/>
      <c r="L257" s="358"/>
    </row>
    <row r="258" spans="1:12" ht="13.5" customHeight="1" hidden="1">
      <c r="A258" s="468"/>
      <c r="B258" s="456" t="s">
        <v>39</v>
      </c>
      <c r="C258" s="103" t="s">
        <v>8</v>
      </c>
      <c r="D258" s="465" t="s">
        <v>91</v>
      </c>
      <c r="E258" s="178">
        <f t="shared" si="16"/>
        <v>0</v>
      </c>
      <c r="F258" s="103">
        <v>0</v>
      </c>
      <c r="G258" s="86">
        <v>0</v>
      </c>
      <c r="H258" s="86">
        <v>0</v>
      </c>
      <c r="I258" s="103">
        <v>0</v>
      </c>
      <c r="J258" s="104">
        <v>0</v>
      </c>
      <c r="K258" s="379"/>
      <c r="L258" s="358"/>
    </row>
    <row r="259" spans="1:12" ht="13.5" customHeight="1" hidden="1">
      <c r="A259" s="469"/>
      <c r="B259" s="457"/>
      <c r="C259" s="105" t="s">
        <v>10</v>
      </c>
      <c r="D259" s="466"/>
      <c r="E259" s="179">
        <f t="shared" si="16"/>
        <v>0</v>
      </c>
      <c r="F259" s="105">
        <v>0</v>
      </c>
      <c r="G259" s="87">
        <v>0</v>
      </c>
      <c r="H259" s="87">
        <v>0</v>
      </c>
      <c r="I259" s="105">
        <v>0</v>
      </c>
      <c r="J259" s="106">
        <v>0</v>
      </c>
      <c r="K259" s="379"/>
      <c r="L259" s="358"/>
    </row>
    <row r="260" spans="1:12" ht="12" customHeight="1" hidden="1">
      <c r="A260" s="470"/>
      <c r="B260" s="458"/>
      <c r="C260" s="107" t="s">
        <v>11</v>
      </c>
      <c r="D260" s="467"/>
      <c r="E260" s="181">
        <f t="shared" si="16"/>
        <v>0</v>
      </c>
      <c r="F260" s="107">
        <v>0</v>
      </c>
      <c r="G260" s="88">
        <v>0</v>
      </c>
      <c r="H260" s="88">
        <v>0</v>
      </c>
      <c r="I260" s="107">
        <v>0</v>
      </c>
      <c r="J260" s="108">
        <v>0</v>
      </c>
      <c r="K260" s="379"/>
      <c r="L260" s="358"/>
    </row>
    <row r="261" spans="1:12" ht="13.5" customHeight="1">
      <c r="A261" s="360" t="s">
        <v>146</v>
      </c>
      <c r="B261" s="363" t="s">
        <v>73</v>
      </c>
      <c r="C261" s="77" t="s">
        <v>8</v>
      </c>
      <c r="D261" s="453">
        <f>D264+D267</f>
        <v>2265000</v>
      </c>
      <c r="E261" s="175">
        <f t="shared" si="16"/>
        <v>0</v>
      </c>
      <c r="F261" s="77">
        <f>F264+F267</f>
        <v>0</v>
      </c>
      <c r="G261" s="77">
        <f>G264+G267</f>
        <v>0</v>
      </c>
      <c r="H261" s="77">
        <f>H264+H267</f>
        <v>0</v>
      </c>
      <c r="I261" s="77">
        <f>I264+I267</f>
        <v>0</v>
      </c>
      <c r="J261" s="78">
        <f>J264+J267</f>
        <v>0</v>
      </c>
      <c r="K261" s="379"/>
      <c r="L261" s="358"/>
    </row>
    <row r="262" spans="1:12" ht="12.75">
      <c r="A262" s="361"/>
      <c r="B262" s="364"/>
      <c r="C262" s="79" t="s">
        <v>10</v>
      </c>
      <c r="D262" s="454"/>
      <c r="E262" s="176">
        <f t="shared" si="16"/>
        <v>0</v>
      </c>
      <c r="F262" s="79">
        <f aca="true" t="shared" si="17" ref="F262:J263">F265+F268</f>
        <v>0</v>
      </c>
      <c r="G262" s="79">
        <f t="shared" si="17"/>
        <v>0</v>
      </c>
      <c r="H262" s="79">
        <f t="shared" si="17"/>
        <v>0</v>
      </c>
      <c r="I262" s="79">
        <f t="shared" si="17"/>
        <v>0</v>
      </c>
      <c r="J262" s="80">
        <f t="shared" si="17"/>
        <v>0</v>
      </c>
      <c r="K262" s="379"/>
      <c r="L262" s="358"/>
    </row>
    <row r="263" spans="1:12" ht="15" customHeight="1" thickBot="1">
      <c r="A263" s="362"/>
      <c r="B263" s="365"/>
      <c r="C263" s="81" t="s">
        <v>11</v>
      </c>
      <c r="D263" s="455"/>
      <c r="E263" s="177">
        <f t="shared" si="16"/>
        <v>0</v>
      </c>
      <c r="F263" s="81">
        <f t="shared" si="17"/>
        <v>0</v>
      </c>
      <c r="G263" s="81">
        <f t="shared" si="17"/>
        <v>0</v>
      </c>
      <c r="H263" s="81">
        <f t="shared" si="17"/>
        <v>0</v>
      </c>
      <c r="I263" s="81">
        <f t="shared" si="17"/>
        <v>0</v>
      </c>
      <c r="J263" s="82">
        <f t="shared" si="17"/>
        <v>0</v>
      </c>
      <c r="K263" s="380"/>
      <c r="L263" s="358"/>
    </row>
    <row r="264" spans="1:12" ht="15.75" customHeight="1" hidden="1">
      <c r="A264" s="474"/>
      <c r="B264" s="474" t="s">
        <v>43</v>
      </c>
      <c r="C264" s="63" t="s">
        <v>8</v>
      </c>
      <c r="D264" s="471">
        <v>954000</v>
      </c>
      <c r="E264" s="182">
        <f t="shared" si="16"/>
        <v>0</v>
      </c>
      <c r="F264" s="63">
        <v>0</v>
      </c>
      <c r="G264" s="63">
        <v>0</v>
      </c>
      <c r="H264" s="63">
        <v>0</v>
      </c>
      <c r="I264" s="63">
        <v>0</v>
      </c>
      <c r="J264" s="64">
        <v>0</v>
      </c>
      <c r="K264" s="263"/>
      <c r="L264" s="358"/>
    </row>
    <row r="265" spans="1:12" ht="13.5" customHeight="1" hidden="1">
      <c r="A265" s="475"/>
      <c r="B265" s="475"/>
      <c r="C265" s="65" t="s">
        <v>10</v>
      </c>
      <c r="D265" s="472"/>
      <c r="E265" s="183">
        <f t="shared" si="16"/>
        <v>0</v>
      </c>
      <c r="F265" s="65">
        <v>0</v>
      </c>
      <c r="G265" s="65">
        <v>0</v>
      </c>
      <c r="H265" s="65">
        <v>0</v>
      </c>
      <c r="I265" s="65">
        <v>0</v>
      </c>
      <c r="J265" s="66">
        <v>0</v>
      </c>
      <c r="K265" s="264"/>
      <c r="L265" s="358"/>
    </row>
    <row r="266" spans="1:12" ht="13.5" customHeight="1" hidden="1">
      <c r="A266" s="476"/>
      <c r="B266" s="476"/>
      <c r="C266" s="67" t="s">
        <v>11</v>
      </c>
      <c r="D266" s="473"/>
      <c r="E266" s="184">
        <f t="shared" si="16"/>
        <v>0</v>
      </c>
      <c r="F266" s="67">
        <v>0</v>
      </c>
      <c r="G266" s="67">
        <v>0</v>
      </c>
      <c r="H266" s="67">
        <v>0</v>
      </c>
      <c r="I266" s="67">
        <v>0</v>
      </c>
      <c r="J266" s="68">
        <v>0</v>
      </c>
      <c r="K266" s="265"/>
      <c r="L266" s="358"/>
    </row>
    <row r="267" spans="1:12" ht="13.5" customHeight="1" hidden="1">
      <c r="A267" s="474"/>
      <c r="B267" s="474" t="s">
        <v>44</v>
      </c>
      <c r="C267" s="63" t="s">
        <v>8</v>
      </c>
      <c r="D267" s="471">
        <v>1311000</v>
      </c>
      <c r="E267" s="182">
        <f t="shared" si="16"/>
        <v>0</v>
      </c>
      <c r="F267" s="63">
        <v>0</v>
      </c>
      <c r="G267" s="63">
        <v>0</v>
      </c>
      <c r="H267" s="63">
        <v>0</v>
      </c>
      <c r="I267" s="63">
        <v>0</v>
      </c>
      <c r="J267" s="64">
        <v>0</v>
      </c>
      <c r="K267" s="263"/>
      <c r="L267" s="358"/>
    </row>
    <row r="268" spans="1:12" ht="13.5" customHeight="1" hidden="1">
      <c r="A268" s="475"/>
      <c r="B268" s="475"/>
      <c r="C268" s="65" t="s">
        <v>10</v>
      </c>
      <c r="D268" s="472"/>
      <c r="E268" s="183">
        <f t="shared" si="16"/>
        <v>0</v>
      </c>
      <c r="F268" s="65">
        <v>0</v>
      </c>
      <c r="G268" s="65">
        <v>0</v>
      </c>
      <c r="H268" s="65">
        <v>0</v>
      </c>
      <c r="I268" s="65">
        <v>0</v>
      </c>
      <c r="J268" s="66">
        <v>0</v>
      </c>
      <c r="K268" s="264"/>
      <c r="L268" s="358"/>
    </row>
    <row r="269" spans="1:12" ht="13.5" customHeight="1" hidden="1">
      <c r="A269" s="476"/>
      <c r="B269" s="476"/>
      <c r="C269" s="67" t="s">
        <v>11</v>
      </c>
      <c r="D269" s="477"/>
      <c r="E269" s="184">
        <f t="shared" si="16"/>
        <v>0</v>
      </c>
      <c r="F269" s="67">
        <v>0</v>
      </c>
      <c r="G269" s="67">
        <v>0</v>
      </c>
      <c r="H269" s="67">
        <v>0</v>
      </c>
      <c r="I269" s="67">
        <v>0</v>
      </c>
      <c r="J269" s="68">
        <v>0</v>
      </c>
      <c r="K269" s="265"/>
      <c r="L269" s="358"/>
    </row>
    <row r="270" spans="1:12" ht="13.5" customHeight="1">
      <c r="A270" s="478"/>
      <c r="B270" s="481" t="s">
        <v>22</v>
      </c>
      <c r="C270" s="54" t="s">
        <v>8</v>
      </c>
      <c r="D270" s="484"/>
      <c r="E270" s="166">
        <f t="shared" si="16"/>
        <v>45899.6</v>
      </c>
      <c r="F270" s="54">
        <f>F189+F192+F213+F225+F237+F249+F261</f>
        <v>45899.6</v>
      </c>
      <c r="G270" s="54">
        <f aca="true" t="shared" si="18" ref="G270:J271">G189+G192+G213+G225+G237+G249+G261</f>
        <v>0</v>
      </c>
      <c r="H270" s="54">
        <f t="shared" si="18"/>
        <v>0</v>
      </c>
      <c r="I270" s="54">
        <f t="shared" si="18"/>
        <v>0</v>
      </c>
      <c r="J270" s="54">
        <f t="shared" si="18"/>
        <v>0</v>
      </c>
      <c r="K270" s="255"/>
      <c r="L270" s="358"/>
    </row>
    <row r="271" spans="1:12" ht="12.75">
      <c r="A271" s="479"/>
      <c r="B271" s="482"/>
      <c r="C271" s="56" t="s">
        <v>10</v>
      </c>
      <c r="D271" s="485"/>
      <c r="E271" s="167">
        <f t="shared" si="16"/>
        <v>405000</v>
      </c>
      <c r="F271" s="56">
        <f>F190+F193+F214+F226+F238+F250+F262</f>
        <v>405000</v>
      </c>
      <c r="G271" s="56">
        <f t="shared" si="18"/>
        <v>0</v>
      </c>
      <c r="H271" s="56">
        <f t="shared" si="18"/>
        <v>0</v>
      </c>
      <c r="I271" s="56">
        <f t="shared" si="18"/>
        <v>0</v>
      </c>
      <c r="J271" s="56">
        <f t="shared" si="18"/>
        <v>0</v>
      </c>
      <c r="K271" s="256"/>
      <c r="L271" s="358"/>
    </row>
    <row r="272" spans="1:12" ht="13.5" thickBot="1">
      <c r="A272" s="480"/>
      <c r="B272" s="483"/>
      <c r="C272" s="58" t="s">
        <v>11</v>
      </c>
      <c r="D272" s="486"/>
      <c r="E272" s="168">
        <f t="shared" si="16"/>
        <v>0</v>
      </c>
      <c r="F272" s="58">
        <f>F191+F194+F215+F227+F239+F251+F263</f>
        <v>0</v>
      </c>
      <c r="G272" s="58">
        <f>G191+G194+G215+G227+G239+G251+G263</f>
        <v>0</v>
      </c>
      <c r="H272" s="58">
        <f>H191+H194+H215+H227+H239+H251+H263</f>
        <v>0</v>
      </c>
      <c r="I272" s="58">
        <f>I191+I194+I215+I227+I239+I251+I263</f>
        <v>0</v>
      </c>
      <c r="J272" s="58">
        <f>J191+J194+J215+J227+J239+J251+J263</f>
        <v>0</v>
      </c>
      <c r="K272" s="257"/>
      <c r="L272" s="358"/>
    </row>
    <row r="273" spans="1:12" ht="15.75" customHeight="1">
      <c r="A273" s="487"/>
      <c r="B273" s="490" t="s">
        <v>23</v>
      </c>
      <c r="C273" s="69" t="s">
        <v>8</v>
      </c>
      <c r="D273" s="196">
        <f>SUM(F273:J273)</f>
        <v>74788401.08</v>
      </c>
      <c r="E273" s="70">
        <f t="shared" si="16"/>
        <v>74788401.08</v>
      </c>
      <c r="F273" s="70">
        <f>F161+F181+F270</f>
        <v>28421539.830000002</v>
      </c>
      <c r="G273" s="70">
        <f>G161+G181+G270</f>
        <v>25036446.93</v>
      </c>
      <c r="H273" s="70">
        <f>H161+H181+H270</f>
        <v>5325101.539999999</v>
      </c>
      <c r="I273" s="70">
        <f>I161+I181+I270</f>
        <v>6330322.05</v>
      </c>
      <c r="J273" s="70">
        <f>J161+J181+J270</f>
        <v>9674990.729999999</v>
      </c>
      <c r="K273" s="266"/>
      <c r="L273" s="358"/>
    </row>
    <row r="274" spans="1:12" ht="15.75">
      <c r="A274" s="488"/>
      <c r="B274" s="491"/>
      <c r="C274" s="71" t="s">
        <v>10</v>
      </c>
      <c r="D274" s="196">
        <f>SUM(F274:J274)</f>
        <v>16282366.900000002</v>
      </c>
      <c r="E274" s="72">
        <f t="shared" si="16"/>
        <v>16282366.900000002</v>
      </c>
      <c r="F274" s="72">
        <f aca="true" t="shared" si="19" ref="F274:J275">F162+F182+F271</f>
        <v>405000</v>
      </c>
      <c r="G274" s="72">
        <f t="shared" si="19"/>
        <v>7182949.96</v>
      </c>
      <c r="H274" s="72">
        <f>H162+H182+H271</f>
        <v>6774316.940000001</v>
      </c>
      <c r="I274" s="72">
        <f t="shared" si="19"/>
        <v>348100</v>
      </c>
      <c r="J274" s="72">
        <f t="shared" si="19"/>
        <v>1572000</v>
      </c>
      <c r="K274" s="267"/>
      <c r="L274" s="358"/>
    </row>
    <row r="275" spans="1:12" ht="16.5" customHeight="1" thickBot="1">
      <c r="A275" s="489"/>
      <c r="B275" s="492"/>
      <c r="C275" s="73" t="s">
        <v>11</v>
      </c>
      <c r="D275" s="196">
        <f>SUM(F275:J275)</f>
        <v>172807372.98</v>
      </c>
      <c r="E275" s="74">
        <f t="shared" si="16"/>
        <v>172807372.98</v>
      </c>
      <c r="F275" s="193">
        <f t="shared" si="19"/>
        <v>3752000</v>
      </c>
      <c r="G275" s="193">
        <f t="shared" si="19"/>
        <v>83520975.97999999</v>
      </c>
      <c r="H275" s="193">
        <f t="shared" si="19"/>
        <v>85534397</v>
      </c>
      <c r="I275" s="193">
        <f t="shared" si="19"/>
        <v>0</v>
      </c>
      <c r="J275" s="193">
        <f t="shared" si="19"/>
        <v>0</v>
      </c>
      <c r="K275" s="229"/>
      <c r="L275" s="268"/>
    </row>
    <row r="276" spans="1:12" ht="16.5" thickBot="1">
      <c r="A276" s="75"/>
      <c r="B276" s="75" t="s">
        <v>50</v>
      </c>
      <c r="C276" s="75"/>
      <c r="D276" s="196">
        <f>F276+G276+H276+I276+J276</f>
        <v>263878140.96</v>
      </c>
      <c r="E276" s="76">
        <f t="shared" si="16"/>
        <v>263878140.96</v>
      </c>
      <c r="F276" s="226">
        <f>SUM(F273:F275)</f>
        <v>32578539.830000002</v>
      </c>
      <c r="G276" s="226">
        <f>SUM(G273:G275)</f>
        <v>115740372.86999999</v>
      </c>
      <c r="H276" s="226">
        <f>SUM(H273:H275)</f>
        <v>97633815.48</v>
      </c>
      <c r="I276" s="226">
        <f>SUM(I273:I275)</f>
        <v>6678422.05</v>
      </c>
      <c r="J276" s="226">
        <f>SUM(J273:J275)</f>
        <v>11246990.729999999</v>
      </c>
      <c r="K276" s="230"/>
      <c r="L276" s="269"/>
    </row>
    <row r="277" spans="4:11" ht="15.75">
      <c r="D277" s="10"/>
      <c r="F277" s="11"/>
      <c r="G277" s="11"/>
      <c r="H277" s="11"/>
      <c r="I277" s="11"/>
      <c r="J277" s="11"/>
      <c r="K277" s="11"/>
    </row>
    <row r="278" spans="4:13" ht="15.75">
      <c r="D278" s="342"/>
      <c r="E278" s="7"/>
      <c r="F278" s="192"/>
      <c r="G278" s="192"/>
      <c r="H278" s="192"/>
      <c r="I278" s="192"/>
      <c r="J278" s="192"/>
      <c r="M278" s="134"/>
    </row>
    <row r="280" ht="12.75">
      <c r="H280" s="134"/>
    </row>
  </sheetData>
  <sheetProtection/>
  <mergeCells count="264">
    <mergeCell ref="A273:A275"/>
    <mergeCell ref="B273:B275"/>
    <mergeCell ref="A149:A151"/>
    <mergeCell ref="B146:B148"/>
    <mergeCell ref="B149:B151"/>
    <mergeCell ref="B152:B154"/>
    <mergeCell ref="B155:B157"/>
    <mergeCell ref="A267:A269"/>
    <mergeCell ref="B267:B269"/>
    <mergeCell ref="D267:D269"/>
    <mergeCell ref="A270:A272"/>
    <mergeCell ref="B270:B272"/>
    <mergeCell ref="D270:D272"/>
    <mergeCell ref="A261:A263"/>
    <mergeCell ref="B261:B263"/>
    <mergeCell ref="D261:D263"/>
    <mergeCell ref="A264:A266"/>
    <mergeCell ref="B264:B266"/>
    <mergeCell ref="D264:D266"/>
    <mergeCell ref="A255:A257"/>
    <mergeCell ref="B255:B257"/>
    <mergeCell ref="D255:D257"/>
    <mergeCell ref="A258:A260"/>
    <mergeCell ref="B258:B260"/>
    <mergeCell ref="D258:D260"/>
    <mergeCell ref="A249:A251"/>
    <mergeCell ref="B249:B251"/>
    <mergeCell ref="D249:D251"/>
    <mergeCell ref="A252:A254"/>
    <mergeCell ref="B252:B254"/>
    <mergeCell ref="D252:D254"/>
    <mergeCell ref="A243:A245"/>
    <mergeCell ref="B243:B245"/>
    <mergeCell ref="D243:D245"/>
    <mergeCell ref="A246:A248"/>
    <mergeCell ref="B246:B248"/>
    <mergeCell ref="D246:D248"/>
    <mergeCell ref="A237:A239"/>
    <mergeCell ref="B237:B239"/>
    <mergeCell ref="D237:D239"/>
    <mergeCell ref="A240:A242"/>
    <mergeCell ref="B240:B242"/>
    <mergeCell ref="D240:D242"/>
    <mergeCell ref="A231:A233"/>
    <mergeCell ref="B231:B233"/>
    <mergeCell ref="D231:D233"/>
    <mergeCell ref="A234:A236"/>
    <mergeCell ref="B234:B236"/>
    <mergeCell ref="D234:D236"/>
    <mergeCell ref="A225:A227"/>
    <mergeCell ref="B225:B227"/>
    <mergeCell ref="D225:D227"/>
    <mergeCell ref="A228:A230"/>
    <mergeCell ref="B228:B230"/>
    <mergeCell ref="D228:D230"/>
    <mergeCell ref="A219:A221"/>
    <mergeCell ref="B219:B221"/>
    <mergeCell ref="D219:D221"/>
    <mergeCell ref="A222:A224"/>
    <mergeCell ref="B222:B224"/>
    <mergeCell ref="D222:D224"/>
    <mergeCell ref="A213:A215"/>
    <mergeCell ref="B213:B215"/>
    <mergeCell ref="D213:D215"/>
    <mergeCell ref="A216:A218"/>
    <mergeCell ref="B216:B218"/>
    <mergeCell ref="D216:D218"/>
    <mergeCell ref="A207:A209"/>
    <mergeCell ref="B207:B209"/>
    <mergeCell ref="D207:D209"/>
    <mergeCell ref="A210:A212"/>
    <mergeCell ref="B210:B212"/>
    <mergeCell ref="D210:D212"/>
    <mergeCell ref="A201:A203"/>
    <mergeCell ref="B201:B203"/>
    <mergeCell ref="D201:D203"/>
    <mergeCell ref="A204:A206"/>
    <mergeCell ref="B204:B206"/>
    <mergeCell ref="D204:D206"/>
    <mergeCell ref="K189:K263"/>
    <mergeCell ref="A192:A194"/>
    <mergeCell ref="B192:B194"/>
    <mergeCell ref="D192:D194"/>
    <mergeCell ref="A195:A197"/>
    <mergeCell ref="B195:B197"/>
    <mergeCell ref="D195:D197"/>
    <mergeCell ref="A198:A200"/>
    <mergeCell ref="B198:B200"/>
    <mergeCell ref="D198:D200"/>
    <mergeCell ref="A184:A186"/>
    <mergeCell ref="B184:B186"/>
    <mergeCell ref="D184:D186"/>
    <mergeCell ref="A188:J188"/>
    <mergeCell ref="A189:A191"/>
    <mergeCell ref="B189:B191"/>
    <mergeCell ref="D189:D191"/>
    <mergeCell ref="A178:A180"/>
    <mergeCell ref="B178:B180"/>
    <mergeCell ref="D178:D180"/>
    <mergeCell ref="A181:A183"/>
    <mergeCell ref="B181:B183"/>
    <mergeCell ref="D181:D183"/>
    <mergeCell ref="A172:A174"/>
    <mergeCell ref="B172:B174"/>
    <mergeCell ref="D172:D174"/>
    <mergeCell ref="A175:A177"/>
    <mergeCell ref="B175:B177"/>
    <mergeCell ref="D175:D177"/>
    <mergeCell ref="A165:J165"/>
    <mergeCell ref="A166:A168"/>
    <mergeCell ref="B166:B168"/>
    <mergeCell ref="D166:D168"/>
    <mergeCell ref="A169:A171"/>
    <mergeCell ref="B169:B171"/>
    <mergeCell ref="D169:D171"/>
    <mergeCell ref="A140:A142"/>
    <mergeCell ref="B140:B142"/>
    <mergeCell ref="D140:D142"/>
    <mergeCell ref="A161:A163"/>
    <mergeCell ref="B161:B163"/>
    <mergeCell ref="D161:D163"/>
    <mergeCell ref="B143:B145"/>
    <mergeCell ref="B158:B160"/>
    <mergeCell ref="D146:D148"/>
    <mergeCell ref="A134:A136"/>
    <mergeCell ref="B134:B136"/>
    <mergeCell ref="D134:D136"/>
    <mergeCell ref="A137:A139"/>
    <mergeCell ref="B137:B139"/>
    <mergeCell ref="D137:D139"/>
    <mergeCell ref="A128:A130"/>
    <mergeCell ref="B128:B130"/>
    <mergeCell ref="D128:D130"/>
    <mergeCell ref="A131:A133"/>
    <mergeCell ref="B131:B133"/>
    <mergeCell ref="D131:D133"/>
    <mergeCell ref="A122:A124"/>
    <mergeCell ref="B122:B124"/>
    <mergeCell ref="D122:D124"/>
    <mergeCell ref="A125:A127"/>
    <mergeCell ref="B125:B127"/>
    <mergeCell ref="D125:D127"/>
    <mergeCell ref="A116:A118"/>
    <mergeCell ref="B116:B118"/>
    <mergeCell ref="D116:D118"/>
    <mergeCell ref="A119:A121"/>
    <mergeCell ref="B119:B121"/>
    <mergeCell ref="D119:D121"/>
    <mergeCell ref="A110:A112"/>
    <mergeCell ref="B110:B112"/>
    <mergeCell ref="D110:D112"/>
    <mergeCell ref="A113:A115"/>
    <mergeCell ref="B113:B115"/>
    <mergeCell ref="D113:D115"/>
    <mergeCell ref="A104:A106"/>
    <mergeCell ref="B104:B106"/>
    <mergeCell ref="D104:D106"/>
    <mergeCell ref="K104:K106"/>
    <mergeCell ref="A107:A109"/>
    <mergeCell ref="B107:B109"/>
    <mergeCell ref="D107:D109"/>
    <mergeCell ref="A98:A100"/>
    <mergeCell ref="B98:B100"/>
    <mergeCell ref="D98:D100"/>
    <mergeCell ref="A101:A103"/>
    <mergeCell ref="B101:B103"/>
    <mergeCell ref="D101:D103"/>
    <mergeCell ref="A92:A94"/>
    <mergeCell ref="B92:B94"/>
    <mergeCell ref="D92:D94"/>
    <mergeCell ref="A95:A97"/>
    <mergeCell ref="B95:B97"/>
    <mergeCell ref="D95:D97"/>
    <mergeCell ref="A86:A88"/>
    <mergeCell ref="B86:B88"/>
    <mergeCell ref="D86:D88"/>
    <mergeCell ref="A89:A91"/>
    <mergeCell ref="B89:B91"/>
    <mergeCell ref="D89:D91"/>
    <mergeCell ref="K77:K79"/>
    <mergeCell ref="A80:A82"/>
    <mergeCell ref="B80:B82"/>
    <mergeCell ref="D80:D82"/>
    <mergeCell ref="A83:A85"/>
    <mergeCell ref="B83:B85"/>
    <mergeCell ref="D83:D85"/>
    <mergeCell ref="A74:A76"/>
    <mergeCell ref="B74:B76"/>
    <mergeCell ref="D74:D76"/>
    <mergeCell ref="A77:A79"/>
    <mergeCell ref="B77:B79"/>
    <mergeCell ref="D77:D79"/>
    <mergeCell ref="A68:A70"/>
    <mergeCell ref="B68:B70"/>
    <mergeCell ref="D68:D70"/>
    <mergeCell ref="A71:A73"/>
    <mergeCell ref="B71:B73"/>
    <mergeCell ref="D71:D73"/>
    <mergeCell ref="A62:A64"/>
    <mergeCell ref="B62:B64"/>
    <mergeCell ref="D62:D64"/>
    <mergeCell ref="A65:A67"/>
    <mergeCell ref="B65:B67"/>
    <mergeCell ref="D65:D67"/>
    <mergeCell ref="A53:A55"/>
    <mergeCell ref="B53:B55"/>
    <mergeCell ref="A56:A58"/>
    <mergeCell ref="B56:B58"/>
    <mergeCell ref="D56:D58"/>
    <mergeCell ref="A59:A61"/>
    <mergeCell ref="B59:B61"/>
    <mergeCell ref="D59:D61"/>
    <mergeCell ref="A47:A49"/>
    <mergeCell ref="B47:B49"/>
    <mergeCell ref="D47:D49"/>
    <mergeCell ref="A50:A52"/>
    <mergeCell ref="B50:B52"/>
    <mergeCell ref="D50:D52"/>
    <mergeCell ref="A41:A43"/>
    <mergeCell ref="B41:B43"/>
    <mergeCell ref="D41:D43"/>
    <mergeCell ref="K41:K43"/>
    <mergeCell ref="A44:A46"/>
    <mergeCell ref="B44:B46"/>
    <mergeCell ref="D44:D46"/>
    <mergeCell ref="A35:A37"/>
    <mergeCell ref="B35:B37"/>
    <mergeCell ref="D35:D37"/>
    <mergeCell ref="A38:A40"/>
    <mergeCell ref="B38:B40"/>
    <mergeCell ref="D38:D40"/>
    <mergeCell ref="A29:A31"/>
    <mergeCell ref="B29:B31"/>
    <mergeCell ref="D29:D31"/>
    <mergeCell ref="K29:K31"/>
    <mergeCell ref="A32:A34"/>
    <mergeCell ref="B32:B34"/>
    <mergeCell ref="D32:D34"/>
    <mergeCell ref="D20:D22"/>
    <mergeCell ref="K20:K22"/>
    <mergeCell ref="A23:A25"/>
    <mergeCell ref="B23:B25"/>
    <mergeCell ref="D23:D25"/>
    <mergeCell ref="A26:A28"/>
    <mergeCell ref="B26:B28"/>
    <mergeCell ref="D26:D28"/>
    <mergeCell ref="K11:K12"/>
    <mergeCell ref="L13:L274"/>
    <mergeCell ref="A14:A16"/>
    <mergeCell ref="B14:B16"/>
    <mergeCell ref="D14:D16"/>
    <mergeCell ref="A17:A19"/>
    <mergeCell ref="B17:B19"/>
    <mergeCell ref="D17:D19"/>
    <mergeCell ref="A20:A22"/>
    <mergeCell ref="B20:B22"/>
    <mergeCell ref="B7:I7"/>
    <mergeCell ref="B8:I8"/>
    <mergeCell ref="A11:A12"/>
    <mergeCell ref="B11:B12"/>
    <mergeCell ref="C11:C12"/>
    <mergeCell ref="D11:D12"/>
    <mergeCell ref="E11:E12"/>
    <mergeCell ref="F11:J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39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Дегтярева Юлия Павловна</cp:lastModifiedBy>
  <cp:lastPrinted>2014-01-24T12:29:15Z</cp:lastPrinted>
  <dcterms:created xsi:type="dcterms:W3CDTF">2012-10-22T07:31:42Z</dcterms:created>
  <dcterms:modified xsi:type="dcterms:W3CDTF">2014-02-21T07:37:53Z</dcterms:modified>
  <cp:category/>
  <cp:version/>
  <cp:contentType/>
  <cp:contentStatus/>
</cp:coreProperties>
</file>