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3" activeTab="0"/>
  </bookViews>
  <sheets>
    <sheet name="16.04.2014" sheetId="1" r:id="rId1"/>
  </sheets>
  <definedNames>
    <definedName name="_xlnm.Print_Titles" localSheetId="0">'16.04.2014'!$8:$9</definedName>
    <definedName name="_xlnm.Print_Area" localSheetId="0">'16.04.2014'!$A$1:$L$281</definedName>
  </definedNames>
  <calcPr fullCalcOnLoad="1"/>
</workbook>
</file>

<file path=xl/sharedStrings.xml><?xml version="1.0" encoding="utf-8"?>
<sst xmlns="http://schemas.openxmlformats.org/spreadsheetml/2006/main" count="437" uniqueCount="165">
  <si>
    <t xml:space="preserve">Перечень  мероприятий </t>
  </si>
  <si>
    <t>к программе комплексного развития систем коммунальной инфраструктуры  города Покачи на 2011-2015 годы</t>
  </si>
  <si>
    <t>№ п/п</t>
  </si>
  <si>
    <t>Наименование мероприятий</t>
  </si>
  <si>
    <t>Источник финансирования</t>
  </si>
  <si>
    <t>годы</t>
  </si>
  <si>
    <t>Исполнители</t>
  </si>
  <si>
    <t>Блок 1 - Перечень мероприятий по развитию и модернизации объектов ЖКХ</t>
  </si>
  <si>
    <t>местный бюджет</t>
  </si>
  <si>
    <t>окружной бюджет</t>
  </si>
  <si>
    <t>прочие источ. финансир.</t>
  </si>
  <si>
    <t>-проектирование КОС</t>
  </si>
  <si>
    <t>-реконструкция  КОС</t>
  </si>
  <si>
    <t>Строительство  наружных  сетей тепловодоснабжения участка от ТП-1П  котельная до ИТП  КСК «Нефтяник»</t>
  </si>
  <si>
    <t xml:space="preserve">Капитальный ремонт КНС </t>
  </si>
  <si>
    <t xml:space="preserve">местный бюджет </t>
  </si>
  <si>
    <t>итого Блоку 1:</t>
  </si>
  <si>
    <t xml:space="preserve"> Блок 2 – Перечень мероприятий по проектированию и строительству инженерных сетей города.</t>
  </si>
  <si>
    <t>итого Блоку 2:</t>
  </si>
  <si>
    <t xml:space="preserve"> Блок 3 – Перечень мероприятий по проектированию и строительству малоэтажной жилой застройки II-го микрорайона, квартал-7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</si>
  <si>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</si>
  <si>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итого Блоку 3:</t>
  </si>
  <si>
    <t xml:space="preserve"> ВСЕГО ПО ПРОГРАММЕ:</t>
  </si>
  <si>
    <t>Реконструкция сетей 0,4 кВ электроснабжения КТПН №70</t>
  </si>
  <si>
    <t>Замена КЛ-0,4 кВ внешнего электроснабжения жилых домов  (ул. Молодежная,д.1,9; ул Ленина,д.18)</t>
  </si>
  <si>
    <t>Реконструкция ТП-10/0,4 кВ города (ТП 4.1.)</t>
  </si>
  <si>
    <t>Капитальный ремонт сетей тепловодоснабжения участка ТК 12-ПБ «Дельфин»</t>
  </si>
  <si>
    <t xml:space="preserve">Проектирование и строительство 10/0,4кВ ТП -5.2 , ТП-5.4 </t>
  </si>
  <si>
    <t>Реконструкция сетей наружного освещения по ул. Аганская</t>
  </si>
  <si>
    <t>Перенос ЛЭП (ВЛ-10 кВ) -реконструкция объекта «Кольцевые сети электроснабжения ВЛ-10 кВ от ПС-35/10 кВ «Городская» в г.Покачи (в т.ч. ПИР)</t>
  </si>
  <si>
    <t xml:space="preserve"> - строительство «Нефтенасосная станция подачи аварийного топлива (стабилизированная нефть) городской котельной г. Покачи»</t>
  </si>
  <si>
    <t xml:space="preserve"> - Корректировка ПИР </t>
  </si>
  <si>
    <t xml:space="preserve">  -  Строительство ЦТП</t>
  </si>
  <si>
    <t xml:space="preserve">  -  Строительство сетей электроснабжения </t>
  </si>
  <si>
    <t xml:space="preserve">  -  Строительство канализационных сетей</t>
  </si>
  <si>
    <t>Строительство объекта "Инженерные сети тепловодоснабжения, канализации, электроснабжения IV микрорайона" , в том числе:</t>
  </si>
  <si>
    <t xml:space="preserve"> - Сети КЛ 10 кВ (кабель) </t>
  </si>
  <si>
    <t xml:space="preserve"> - Сети КЛ 0,4 кВ (кабель) от ТП до ЦТП</t>
  </si>
  <si>
    <t xml:space="preserve"> - Сети ВЛ 0,4 кВ (воздушная-СИП 2а) освещение</t>
  </si>
  <si>
    <t xml:space="preserve"> - ЦТП</t>
  </si>
  <si>
    <t xml:space="preserve"> - Тепловодоснабжениеснабжение Ø219 мм. (ППУ) </t>
  </si>
  <si>
    <r>
      <t xml:space="preserve"> - Тепловодоснабжение </t>
    </r>
    <r>
      <rPr>
        <sz val="9"/>
        <rFont val="Arial Cyr"/>
        <family val="2"/>
      </rPr>
      <t>Ø</t>
    </r>
    <r>
      <rPr>
        <sz val="8.1"/>
        <rFont val="Times New Roman"/>
        <family val="1"/>
      </rPr>
      <t>219 мм. (ППУ) от ул.Молодежная №8 до ЦТП</t>
    </r>
  </si>
  <si>
    <t xml:space="preserve"> - Канализация Ø 150 мм.толщина стенки 12 мм. ст.труба с внутренним полимерным покрытием в усиленной гидроизоляции</t>
  </si>
  <si>
    <t xml:space="preserve"> - Теплоснабжение Ø219 мм. (ППУ) </t>
  </si>
  <si>
    <t xml:space="preserve"> - Канализация Ø 150 мм.толщина стенки 12 мм. ст.труба с внутренним полимерным покрытием в усиленной гидроизоляции (249,1м) </t>
  </si>
  <si>
    <t xml:space="preserve"> - Сети тепловодоснабжения</t>
  </si>
  <si>
    <t xml:space="preserve"> - Канализация Ø 150 мм.толщина стенки 12 мм. ст.труба с внутренним полимерным покрытием в усиленной гидроизоляции </t>
  </si>
  <si>
    <t>Проектирование и реконструкция КОС, в том числе:</t>
  </si>
  <si>
    <t>Строительство «Нефтенасосная станция подачи аварийного топлива (стабилизированная нефть) городской котельной г. Покачи», в том числе:</t>
  </si>
  <si>
    <t>Итого</t>
  </si>
  <si>
    <t>КНС-7</t>
  </si>
  <si>
    <t xml:space="preserve"> КНС- 6</t>
  </si>
  <si>
    <t>Капитальный ремонт электрооборудования ДЭС-2 на городской котельной</t>
  </si>
  <si>
    <t>Проектирование  наружных  сетей тепловодоснабжения участка от ТП-1П  котельная до ИТП  КСК «Нефтяник»</t>
  </si>
  <si>
    <t>КНС-8</t>
  </si>
  <si>
    <t>Капитальный ремонт канализационных колодцев 2 микрорайона.</t>
  </si>
  <si>
    <t>Строительство аэратора-дегазатора на ВОС</t>
  </si>
  <si>
    <t xml:space="preserve"> - проектирование ГРП  I и  II очереди городской котельной</t>
  </si>
  <si>
    <t xml:space="preserve"> капитальный ремонт узлов учета ГРП I и  II очереди городской котельной</t>
  </si>
  <si>
    <t xml:space="preserve">Проектирование и внедрение АИИС КУЭ  третьего уровня 4 микрорайона </t>
  </si>
  <si>
    <t>Реконструкция ВЛ-35кВ Ф№5 ПС 110/35/6кВ "Покачевская"( установка приемных порталов, монтаж ВВ-35кВ)</t>
  </si>
  <si>
    <t>Реконструкция ВЛ-35кВ Ф№6 ПС 110/35/6кВ "Покачевская"( замена МВ -35кВ №1 на ВВ-35кВ)</t>
  </si>
  <si>
    <t>Капитальный ремонт сети тепловодоснабжения по ул. Мира,18 (сети ТС, ГВС, ХВС от ЦТП-6 -МБУЗ "ЦГБ")</t>
  </si>
  <si>
    <t>Проектирование и реконструкция Подстанции 35/10кВ "Городская""в г. Покачи</t>
  </si>
  <si>
    <t>Пояснения</t>
  </si>
  <si>
    <t>Строительство инженерных сетей  улицы Тихая</t>
  </si>
  <si>
    <t>Строительство инженерных сетей  улицы  Мира</t>
  </si>
  <si>
    <t>Строительство инженерных сетей  улицы  Северная</t>
  </si>
  <si>
    <t>Строительство инженерных сетей  улицы  Сосновая</t>
  </si>
  <si>
    <t>Строительство инженерных сетей  улицы  Весенняя</t>
  </si>
  <si>
    <t>Строительство инженерных сетей  улицы  Молодежная</t>
  </si>
  <si>
    <t>Капитальный ремонт узлов учета ГРП I и  II очереди городской котельной</t>
  </si>
  <si>
    <t>1440000,0</t>
  </si>
  <si>
    <t>2326000,0</t>
  </si>
  <si>
    <t>478000,0</t>
  </si>
  <si>
    <t>1811100,0</t>
  </si>
  <si>
    <t>26000000,0</t>
  </si>
  <si>
    <t>4907000,0</t>
  </si>
  <si>
    <t>4405000,0</t>
  </si>
  <si>
    <t>3650000,0</t>
  </si>
  <si>
    <t>3414000,0</t>
  </si>
  <si>
    <t>580000,0</t>
  </si>
  <si>
    <t>1402000,0</t>
  </si>
  <si>
    <t>2979000,0</t>
  </si>
  <si>
    <t>403000,0</t>
  </si>
  <si>
    <t>1420000,0</t>
  </si>
  <si>
    <t>2273000,0</t>
  </si>
  <si>
    <t>353000,0</t>
  </si>
  <si>
    <t>5000000,00</t>
  </si>
  <si>
    <t>1000000,00</t>
  </si>
  <si>
    <t>0,0</t>
  </si>
  <si>
    <t>Объем финансирования   руб.</t>
  </si>
  <si>
    <t>6</t>
  </si>
  <si>
    <t>7</t>
  </si>
  <si>
    <t>8</t>
  </si>
  <si>
    <t>9</t>
  </si>
  <si>
    <t>10</t>
  </si>
  <si>
    <t>11</t>
  </si>
  <si>
    <t>13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</si>
  <si>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</si>
  <si>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</si>
  <si>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</si>
  <si>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</si>
  <si>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</si>
  <si>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</si>
  <si>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</si>
  <si>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</si>
  <si>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</si>
  <si>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</si>
  <si>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</si>
  <si>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</si>
  <si>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</si>
  <si>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</si>
  <si>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</si>
  <si>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</si>
  <si>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</si>
  <si>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</t>
  </si>
  <si>
    <t xml:space="preserve">Стоимость объекта  руб. </t>
  </si>
  <si>
    <t>Капитальный ремонт кольцевой сети водоснабжения участка ТК-28 -ПГ ул. Комсомольская, 6\1 ( 144,7 п.м)</t>
  </si>
  <si>
    <t>Капитальный ремонт кольцевой сети водоснабжения участка ул. Молодежная, 11 ул. Комсомольская, 1(25,8 п.м)</t>
  </si>
  <si>
    <t>Капитальный ремонт сетей ХВС участка(ул. Таежная.16-Мира,2), (18 м.п)</t>
  </si>
  <si>
    <t>Капитальный ремонт сетей ТВС участка ТП12(ул. Мира,9), (97м.п)</t>
  </si>
  <si>
    <t>Капитальный ремонтнаружных сетей водоотведения(ул.Ленина,18), (68м.п.)</t>
  </si>
  <si>
    <t>Капитальный ремонт наружных сетей водоотведения(ул. Таежная,2),(35 м.п)</t>
  </si>
  <si>
    <t>Капитальный ремонт сети ХВС с учетом переноса пожгидранта (ул. Тихая)</t>
  </si>
  <si>
    <t>Реконструкция сетей  6,04кВ электроснабжения КТПН №118</t>
  </si>
  <si>
    <t>Капитальный ремонт канализационных колодцев 3 шт.(№64,65 ул. Северная)</t>
  </si>
  <si>
    <t>30</t>
  </si>
  <si>
    <t>31</t>
  </si>
  <si>
    <t>32</t>
  </si>
  <si>
    <t>к решению Думы города Покачи</t>
  </si>
  <si>
    <t>Приложение</t>
  </si>
  <si>
    <t>Приобретение запорной арматуры  (10 единиц)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</si>
  <si>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</si>
  <si>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</si>
  <si>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</si>
  <si>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</si>
  <si>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</si>
  <si>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</si>
  <si>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</si>
  <si>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</si>
  <si>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</si>
  <si>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Капитальный ремонт ДЭС городской котельной г.Покачи (пусконаладочные работы по замене электронной панели и запуску в автоматическом режиме)</t>
  </si>
  <si>
    <t>Перевод нагрузок с КПТН №47 на ТП №2.5 в 4 микрорайоне (перевод нагрузок, демонтаж КТПН №47)</t>
  </si>
  <si>
    <t>Реконструкция сетей внешнего электроснабжения жилых домов: ул.Таежная 2, ул.Моложежная 5, ул.Молодежная 7</t>
  </si>
  <si>
    <t>Мероприятия по реконструкции, модернизации и капитальному ремонту систем теплоснабжения, водоснабжения и водоотведения для подготовки к ОЗП</t>
  </si>
  <si>
    <t xml:space="preserve"> - обследование  и корректировка проекта</t>
  </si>
  <si>
    <t>Актуализация схемы теплоснабжения</t>
  </si>
  <si>
    <t>42</t>
  </si>
  <si>
    <t>43</t>
  </si>
  <si>
    <t>44</t>
  </si>
  <si>
    <t>45</t>
  </si>
  <si>
    <t>46</t>
  </si>
  <si>
    <t xml:space="preserve"> средства в бюджете города на 2014-2015 г. не предусмотрены</t>
  </si>
  <si>
    <t>средства в бюджете города на 2014-2015 г. не предусмотрены</t>
  </si>
  <si>
    <t>Выполнение научно-исследовательской работы "Разработка схем водоснабжения и водоотведения города Покачи"</t>
  </si>
  <si>
    <t>Расходы на реализацию мероприятий Программы комплексного развития систем коммунальной инфраструктуры города Покчи на 2011-2015 годы</t>
  </si>
  <si>
    <t>Приобретение неподвижных опор трубопровода тепловой сети  (18 шт.)</t>
  </si>
  <si>
    <t>Капитальный ремонт магистрального трубопровода тепловой сети на участке ТК-1 - ТК-2 с заменой неподвижных опор</t>
  </si>
  <si>
    <t xml:space="preserve"> УЖКХ</t>
  </si>
  <si>
    <t xml:space="preserve">Капитальный ремонт сетей электроснабжения ВОС-ТП -5.2 </t>
  </si>
  <si>
    <t>Капитальный ремонт канализационных сетей по ул.Мира д.14, д.16</t>
  </si>
  <si>
    <t>47</t>
  </si>
  <si>
    <t>48</t>
  </si>
  <si>
    <t>от 30.04.2014 № 35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</si>
</sst>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Arial Cyr"/>
      <family val="2"/>
    </font>
    <font>
      <sz val="8.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3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NumberFormat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164" fontId="21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9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34" fillId="0" borderId="0" xfId="0" applyFont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43" fontId="0" fillId="0" borderId="0" xfId="60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9" fontId="29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4" fontId="2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/>
    </xf>
    <xf numFmtId="2" fontId="19" fillId="24" borderId="15" xfId="0" applyNumberFormat="1" applyFont="1" applyFill="1" applyBorder="1" applyAlignment="1">
      <alignment horizontal="center" vertical="center" wrapText="1"/>
    </xf>
    <xf numFmtId="49" fontId="22" fillId="25" borderId="16" xfId="0" applyNumberFormat="1" applyFont="1" applyFill="1" applyBorder="1" applyAlignment="1">
      <alignment horizontal="center" vertical="center"/>
    </xf>
    <xf numFmtId="4" fontId="22" fillId="25" borderId="17" xfId="0" applyNumberFormat="1" applyFont="1" applyFill="1" applyBorder="1" applyAlignment="1">
      <alignment horizontal="center"/>
    </xf>
    <xf numFmtId="4" fontId="22" fillId="25" borderId="16" xfId="0" applyNumberFormat="1" applyFont="1" applyFill="1" applyBorder="1" applyAlignment="1">
      <alignment horizontal="center" vertical="center"/>
    </xf>
    <xf numFmtId="4" fontId="22" fillId="25" borderId="18" xfId="0" applyNumberFormat="1" applyFont="1" applyFill="1" applyBorder="1" applyAlignment="1">
      <alignment horizontal="center" vertical="center"/>
    </xf>
    <xf numFmtId="4" fontId="22" fillId="25" borderId="19" xfId="0" applyNumberFormat="1" applyFont="1" applyFill="1" applyBorder="1" applyAlignment="1">
      <alignment horizontal="center" vertical="center"/>
    </xf>
    <xf numFmtId="4" fontId="22" fillId="25" borderId="20" xfId="0" applyNumberFormat="1" applyFont="1" applyFill="1" applyBorder="1" applyAlignment="1">
      <alignment horizontal="center" vertical="center"/>
    </xf>
    <xf numFmtId="49" fontId="22" fillId="25" borderId="21" xfId="0" applyNumberFormat="1" applyFont="1" applyFill="1" applyBorder="1" applyAlignment="1">
      <alignment horizontal="center" vertical="center"/>
    </xf>
    <xf numFmtId="4" fontId="22" fillId="25" borderId="22" xfId="0" applyNumberFormat="1" applyFont="1" applyFill="1" applyBorder="1" applyAlignment="1">
      <alignment horizontal="center"/>
    </xf>
    <xf numFmtId="4" fontId="22" fillId="25" borderId="21" xfId="0" applyNumberFormat="1" applyFont="1" applyFill="1" applyBorder="1" applyAlignment="1">
      <alignment horizontal="center" vertical="center"/>
    </xf>
    <xf numFmtId="4" fontId="22" fillId="25" borderId="23" xfId="0" applyNumberFormat="1" applyFont="1" applyFill="1" applyBorder="1" applyAlignment="1">
      <alignment horizontal="center" vertical="center"/>
    </xf>
    <xf numFmtId="4" fontId="22" fillId="25" borderId="24" xfId="0" applyNumberFormat="1" applyFont="1" applyFill="1" applyBorder="1" applyAlignment="1">
      <alignment horizontal="center" vertical="center"/>
    </xf>
    <xf numFmtId="4" fontId="22" fillId="25" borderId="25" xfId="0" applyNumberFormat="1" applyFont="1" applyFill="1" applyBorder="1" applyAlignment="1">
      <alignment horizontal="center" vertical="center"/>
    </xf>
    <xf numFmtId="49" fontId="22" fillId="25" borderId="26" xfId="0" applyNumberFormat="1" applyFont="1" applyFill="1" applyBorder="1" applyAlignment="1">
      <alignment horizontal="center" vertical="center"/>
    </xf>
    <xf numFmtId="4" fontId="22" fillId="25" borderId="27" xfId="0" applyNumberFormat="1" applyFont="1" applyFill="1" applyBorder="1" applyAlignment="1">
      <alignment horizontal="center"/>
    </xf>
    <xf numFmtId="4" fontId="22" fillId="25" borderId="28" xfId="0" applyNumberFormat="1" applyFont="1" applyFill="1" applyBorder="1" applyAlignment="1">
      <alignment horizontal="center" vertical="center"/>
    </xf>
    <xf numFmtId="4" fontId="22" fillId="25" borderId="29" xfId="0" applyNumberFormat="1" applyFont="1" applyFill="1" applyBorder="1" applyAlignment="1">
      <alignment horizontal="center" vertical="center"/>
    </xf>
    <xf numFmtId="4" fontId="22" fillId="25" borderId="30" xfId="0" applyNumberFormat="1" applyFont="1" applyFill="1" applyBorder="1" applyAlignment="1">
      <alignment horizontal="center" vertical="center"/>
    </xf>
    <xf numFmtId="49" fontId="28" fillId="24" borderId="16" xfId="0" applyNumberFormat="1" applyFont="1" applyFill="1" applyBorder="1" applyAlignment="1">
      <alignment horizontal="center" vertical="center"/>
    </xf>
    <xf numFmtId="4" fontId="28" fillId="24" borderId="17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 vertical="center"/>
    </xf>
    <xf numFmtId="4" fontId="28" fillId="24" borderId="18" xfId="0" applyNumberFormat="1" applyFont="1" applyFill="1" applyBorder="1" applyAlignment="1">
      <alignment horizontal="center" vertical="center"/>
    </xf>
    <xf numFmtId="4" fontId="28" fillId="24" borderId="19" xfId="0" applyNumberFormat="1" applyFont="1" applyFill="1" applyBorder="1" applyAlignment="1">
      <alignment horizontal="center" vertical="center"/>
    </xf>
    <xf numFmtId="4" fontId="26" fillId="24" borderId="19" xfId="0" applyNumberFormat="1" applyFont="1" applyFill="1" applyBorder="1" applyAlignment="1">
      <alignment horizontal="center" vertical="center"/>
    </xf>
    <xf numFmtId="4" fontId="28" fillId="24" borderId="20" xfId="0" applyNumberFormat="1" applyFont="1" applyFill="1" applyBorder="1" applyAlignment="1">
      <alignment horizontal="center"/>
    </xf>
    <xf numFmtId="49" fontId="28" fillId="24" borderId="21" xfId="0" applyNumberFormat="1" applyFont="1" applyFill="1" applyBorder="1" applyAlignment="1">
      <alignment horizontal="center" vertical="center"/>
    </xf>
    <xf numFmtId="4" fontId="28" fillId="24" borderId="22" xfId="0" applyNumberFormat="1" applyFont="1" applyFill="1" applyBorder="1" applyAlignment="1">
      <alignment horizontal="center"/>
    </xf>
    <xf numFmtId="4" fontId="28" fillId="24" borderId="21" xfId="0" applyNumberFormat="1" applyFont="1" applyFill="1" applyBorder="1" applyAlignment="1">
      <alignment horizontal="center" vertical="center"/>
    </xf>
    <xf numFmtId="4" fontId="28" fillId="24" borderId="23" xfId="0" applyNumberFormat="1" applyFont="1" applyFill="1" applyBorder="1" applyAlignment="1">
      <alignment horizontal="center" vertical="center"/>
    </xf>
    <xf numFmtId="4" fontId="28" fillId="24" borderId="24" xfId="0" applyNumberFormat="1" applyFont="1" applyFill="1" applyBorder="1" applyAlignment="1">
      <alignment horizontal="center" vertical="center"/>
    </xf>
    <xf numFmtId="4" fontId="26" fillId="24" borderId="24" xfId="0" applyNumberFormat="1" applyFont="1" applyFill="1" applyBorder="1" applyAlignment="1">
      <alignment horizontal="center" vertical="center"/>
    </xf>
    <xf numFmtId="4" fontId="28" fillId="24" borderId="25" xfId="0" applyNumberFormat="1" applyFont="1" applyFill="1" applyBorder="1" applyAlignment="1">
      <alignment horizontal="center"/>
    </xf>
    <xf numFmtId="4" fontId="28" fillId="24" borderId="27" xfId="0" applyNumberFormat="1" applyFont="1" applyFill="1" applyBorder="1" applyAlignment="1">
      <alignment horizontal="center"/>
    </xf>
    <xf numFmtId="4" fontId="28" fillId="24" borderId="26" xfId="0" applyNumberFormat="1" applyFont="1" applyFill="1" applyBorder="1" applyAlignment="1">
      <alignment horizontal="center" vertical="center"/>
    </xf>
    <xf numFmtId="4" fontId="28" fillId="24" borderId="28" xfId="0" applyNumberFormat="1" applyFont="1" applyFill="1" applyBorder="1" applyAlignment="1">
      <alignment horizontal="center" vertical="center"/>
    </xf>
    <xf numFmtId="4" fontId="28" fillId="24" borderId="29" xfId="0" applyNumberFormat="1" applyFont="1" applyFill="1" applyBorder="1" applyAlignment="1">
      <alignment horizontal="center" vertical="center"/>
    </xf>
    <xf numFmtId="4" fontId="35" fillId="24" borderId="31" xfId="0" applyNumberFormat="1" applyFont="1" applyFill="1" applyBorder="1" applyAlignment="1">
      <alignment horizontal="center" vertical="center"/>
    </xf>
    <xf numFmtId="4" fontId="28" fillId="24" borderId="30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8" xfId="0" applyNumberFormat="1" applyFont="1" applyFill="1" applyBorder="1" applyAlignment="1">
      <alignment horizontal="center"/>
    </xf>
    <xf numFmtId="4" fontId="28" fillId="24" borderId="19" xfId="0" applyNumberFormat="1" applyFont="1" applyFill="1" applyBorder="1" applyAlignment="1">
      <alignment horizontal="center"/>
    </xf>
    <xf numFmtId="4" fontId="28" fillId="24" borderId="24" xfId="0" applyNumberFormat="1" applyFont="1" applyFill="1" applyBorder="1" applyAlignment="1">
      <alignment horizontal="center"/>
    </xf>
    <xf numFmtId="4" fontId="28" fillId="24" borderId="26" xfId="0" applyNumberFormat="1" applyFont="1" applyFill="1" applyBorder="1" applyAlignment="1">
      <alignment horizontal="center"/>
    </xf>
    <xf numFmtId="4" fontId="28" fillId="24" borderId="28" xfId="0" applyNumberFormat="1" applyFont="1" applyFill="1" applyBorder="1" applyAlignment="1">
      <alignment horizontal="center"/>
    </xf>
    <xf numFmtId="4" fontId="28" fillId="24" borderId="29" xfId="0" applyNumberFormat="1" applyFont="1" applyFill="1" applyBorder="1" applyAlignment="1">
      <alignment horizontal="center"/>
    </xf>
    <xf numFmtId="4" fontId="22" fillId="25" borderId="32" xfId="0" applyNumberFormat="1" applyFont="1" applyFill="1" applyBorder="1" applyAlignment="1">
      <alignment horizontal="center" vertical="center"/>
    </xf>
    <xf numFmtId="4" fontId="22" fillId="25" borderId="33" xfId="0" applyNumberFormat="1" applyFont="1" applyFill="1" applyBorder="1" applyAlignment="1">
      <alignment horizontal="center" vertical="center"/>
    </xf>
    <xf numFmtId="4" fontId="28" fillId="24" borderId="20" xfId="0" applyNumberFormat="1" applyFont="1" applyFill="1" applyBorder="1" applyAlignment="1">
      <alignment horizontal="center" vertical="center"/>
    </xf>
    <xf numFmtId="4" fontId="28" fillId="24" borderId="23" xfId="0" applyNumberFormat="1" applyFont="1" applyFill="1" applyBorder="1" applyAlignment="1">
      <alignment horizontal="center"/>
    </xf>
    <xf numFmtId="4" fontId="22" fillId="25" borderId="34" xfId="0" applyNumberFormat="1" applyFont="1" applyFill="1" applyBorder="1" applyAlignment="1">
      <alignment horizontal="center" vertical="center" wrapText="1"/>
    </xf>
    <xf numFmtId="4" fontId="22" fillId="25" borderId="26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9" fontId="26" fillId="24" borderId="21" xfId="0" applyNumberFormat="1" applyFont="1" applyFill="1" applyBorder="1" applyAlignment="1">
      <alignment horizontal="center" vertical="center"/>
    </xf>
    <xf numFmtId="4" fontId="26" fillId="24" borderId="22" xfId="0" applyNumberFormat="1" applyFont="1" applyFill="1" applyBorder="1" applyAlignment="1">
      <alignment horizontal="center"/>
    </xf>
    <xf numFmtId="4" fontId="26" fillId="24" borderId="21" xfId="0" applyNumberFormat="1" applyFont="1" applyFill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4" fontId="22" fillId="24" borderId="24" xfId="0" applyNumberFormat="1" applyFont="1" applyFill="1" applyBorder="1" applyAlignment="1">
      <alignment horizontal="center" vertical="center"/>
    </xf>
    <xf numFmtId="49" fontId="26" fillId="24" borderId="26" xfId="0" applyNumberFormat="1" applyFont="1" applyFill="1" applyBorder="1" applyAlignment="1">
      <alignment horizontal="center" vertical="center"/>
    </xf>
    <xf numFmtId="4" fontId="26" fillId="24" borderId="27" xfId="0" applyNumberFormat="1" applyFont="1" applyFill="1" applyBorder="1" applyAlignment="1">
      <alignment horizontal="center"/>
    </xf>
    <xf numFmtId="4" fontId="26" fillId="24" borderId="26" xfId="0" applyNumberFormat="1" applyFont="1" applyFill="1" applyBorder="1" applyAlignment="1">
      <alignment horizontal="center" vertical="center"/>
    </xf>
    <xf numFmtId="4" fontId="26" fillId="24" borderId="28" xfId="0" applyNumberFormat="1" applyFont="1" applyFill="1" applyBorder="1" applyAlignment="1">
      <alignment horizontal="center" vertical="center"/>
    </xf>
    <xf numFmtId="4" fontId="26" fillId="24" borderId="29" xfId="0" applyNumberFormat="1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center" vertical="center"/>
    </xf>
    <xf numFmtId="4" fontId="22" fillId="24" borderId="20" xfId="0" applyNumberFormat="1" applyFont="1" applyFill="1" applyBorder="1" applyAlignment="1">
      <alignment horizontal="center" vertical="center"/>
    </xf>
    <xf numFmtId="4" fontId="22" fillId="24" borderId="25" xfId="0" applyNumberFormat="1" applyFont="1" applyFill="1" applyBorder="1" applyAlignment="1">
      <alignment horizontal="center" vertical="center"/>
    </xf>
    <xf numFmtId="4" fontId="22" fillId="24" borderId="30" xfId="0" applyNumberFormat="1" applyFont="1" applyFill="1" applyBorder="1" applyAlignment="1">
      <alignment horizontal="center" vertical="center"/>
    </xf>
    <xf numFmtId="49" fontId="22" fillId="25" borderId="35" xfId="0" applyNumberFormat="1" applyFont="1" applyFill="1" applyBorder="1" applyAlignment="1">
      <alignment horizontal="center" vertical="center"/>
    </xf>
    <xf numFmtId="4" fontId="22" fillId="25" borderId="35" xfId="0" applyNumberFormat="1" applyFont="1" applyFill="1" applyBorder="1" applyAlignment="1">
      <alignment horizontal="center"/>
    </xf>
    <xf numFmtId="4" fontId="22" fillId="25" borderId="36" xfId="0" applyNumberFormat="1" applyFont="1" applyFill="1" applyBorder="1" applyAlignment="1">
      <alignment horizontal="center" vertical="center"/>
    </xf>
    <xf numFmtId="4" fontId="22" fillId="25" borderId="35" xfId="0" applyNumberFormat="1" applyFont="1" applyFill="1" applyBorder="1" applyAlignment="1">
      <alignment horizontal="center" vertical="center"/>
    </xf>
    <xf numFmtId="49" fontId="22" fillId="25" borderId="14" xfId="0" applyNumberFormat="1" applyFont="1" applyFill="1" applyBorder="1" applyAlignment="1">
      <alignment horizontal="center" vertical="center"/>
    </xf>
    <xf numFmtId="4" fontId="22" fillId="25" borderId="14" xfId="0" applyNumberFormat="1" applyFont="1" applyFill="1" applyBorder="1" applyAlignment="1">
      <alignment horizontal="center"/>
    </xf>
    <xf numFmtId="4" fontId="22" fillId="25" borderId="14" xfId="0" applyNumberFormat="1" applyFont="1" applyFill="1" applyBorder="1" applyAlignment="1">
      <alignment horizontal="center" vertical="center"/>
    </xf>
    <xf numFmtId="49" fontId="22" fillId="25" borderId="37" xfId="0" applyNumberFormat="1" applyFont="1" applyFill="1" applyBorder="1" applyAlignment="1">
      <alignment horizontal="center" vertical="center"/>
    </xf>
    <xf numFmtId="4" fontId="22" fillId="25" borderId="37" xfId="0" applyNumberFormat="1" applyFont="1" applyFill="1" applyBorder="1" applyAlignment="1">
      <alignment horizontal="center"/>
    </xf>
    <xf numFmtId="4" fontId="22" fillId="25" borderId="38" xfId="0" applyNumberFormat="1" applyFont="1" applyFill="1" applyBorder="1" applyAlignment="1">
      <alignment horizontal="center"/>
    </xf>
    <xf numFmtId="4" fontId="22" fillId="25" borderId="37" xfId="0" applyNumberFormat="1" applyFont="1" applyFill="1" applyBorder="1" applyAlignment="1">
      <alignment horizontal="center" vertical="center"/>
    </xf>
    <xf numFmtId="4" fontId="22" fillId="25" borderId="38" xfId="0" applyNumberFormat="1" applyFont="1" applyFill="1" applyBorder="1" applyAlignment="1">
      <alignment horizontal="center" vertical="center"/>
    </xf>
    <xf numFmtId="4" fontId="25" fillId="25" borderId="39" xfId="0" applyNumberFormat="1" applyFont="1" applyFill="1" applyBorder="1" applyAlignment="1">
      <alignment vertical="center"/>
    </xf>
    <xf numFmtId="4" fontId="22" fillId="25" borderId="19" xfId="0" applyNumberFormat="1" applyFont="1" applyFill="1" applyBorder="1" applyAlignment="1">
      <alignment horizontal="center"/>
    </xf>
    <xf numFmtId="4" fontId="22" fillId="25" borderId="40" xfId="0" applyNumberFormat="1" applyFont="1" applyFill="1" applyBorder="1" applyAlignment="1">
      <alignment horizontal="center" vertical="center"/>
    </xf>
    <xf numFmtId="4" fontId="25" fillId="25" borderId="41" xfId="0" applyNumberFormat="1" applyFont="1" applyFill="1" applyBorder="1" applyAlignment="1">
      <alignment horizontal="center" vertical="center"/>
    </xf>
    <xf numFmtId="4" fontId="22" fillId="25" borderId="24" xfId="0" applyNumberFormat="1" applyFont="1" applyFill="1" applyBorder="1" applyAlignment="1">
      <alignment horizontal="center"/>
    </xf>
    <xf numFmtId="4" fontId="22" fillId="25" borderId="42" xfId="0" applyNumberFormat="1" applyFont="1" applyFill="1" applyBorder="1" applyAlignment="1">
      <alignment horizontal="center"/>
    </xf>
    <xf numFmtId="49" fontId="22" fillId="25" borderId="15" xfId="0" applyNumberFormat="1" applyFont="1" applyFill="1" applyBorder="1" applyAlignment="1">
      <alignment horizontal="center" vertical="center"/>
    </xf>
    <xf numFmtId="4" fontId="25" fillId="25" borderId="43" xfId="0" applyNumberFormat="1" applyFont="1" applyFill="1" applyBorder="1" applyAlignment="1">
      <alignment vertical="center"/>
    </xf>
    <xf numFmtId="4" fontId="22" fillId="25" borderId="31" xfId="0" applyNumberFormat="1" applyFont="1" applyFill="1" applyBorder="1" applyAlignment="1">
      <alignment horizontal="center"/>
    </xf>
    <xf numFmtId="4" fontId="22" fillId="25" borderId="44" xfId="0" applyNumberFormat="1" applyFont="1" applyFill="1" applyBorder="1" applyAlignment="1">
      <alignment horizontal="center" vertical="center"/>
    </xf>
    <xf numFmtId="4" fontId="22" fillId="25" borderId="31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" fontId="22" fillId="25" borderId="45" xfId="0" applyNumberFormat="1" applyFont="1" applyFill="1" applyBorder="1" applyAlignment="1">
      <alignment horizontal="center"/>
    </xf>
    <xf numFmtId="4" fontId="22" fillId="25" borderId="18" xfId="0" applyNumberFormat="1" applyFont="1" applyFill="1" applyBorder="1" applyAlignment="1">
      <alignment horizontal="center"/>
    </xf>
    <xf numFmtId="4" fontId="22" fillId="25" borderId="46" xfId="0" applyNumberFormat="1" applyFont="1" applyFill="1" applyBorder="1" applyAlignment="1">
      <alignment horizontal="center"/>
    </xf>
    <xf numFmtId="4" fontId="22" fillId="25" borderId="20" xfId="0" applyNumberFormat="1" applyFont="1" applyFill="1" applyBorder="1" applyAlignment="1">
      <alignment horizontal="center"/>
    </xf>
    <xf numFmtId="49" fontId="22" fillId="25" borderId="23" xfId="0" applyNumberFormat="1" applyFont="1" applyFill="1" applyBorder="1" applyAlignment="1">
      <alignment horizontal="center" vertical="center"/>
    </xf>
    <xf numFmtId="4" fontId="22" fillId="25" borderId="23" xfId="0" applyNumberFormat="1" applyFont="1" applyFill="1" applyBorder="1" applyAlignment="1">
      <alignment horizontal="center"/>
    </xf>
    <xf numFmtId="4" fontId="22" fillId="25" borderId="47" xfId="0" applyNumberFormat="1" applyFont="1" applyFill="1" applyBorder="1" applyAlignment="1">
      <alignment horizontal="center"/>
    </xf>
    <xf numFmtId="4" fontId="22" fillId="25" borderId="25" xfId="0" applyNumberFormat="1" applyFont="1" applyFill="1" applyBorder="1" applyAlignment="1">
      <alignment horizontal="center"/>
    </xf>
    <xf numFmtId="49" fontId="22" fillId="25" borderId="28" xfId="0" applyNumberFormat="1" applyFont="1" applyFill="1" applyBorder="1" applyAlignment="1">
      <alignment horizontal="center" vertical="center"/>
    </xf>
    <xf numFmtId="4" fontId="22" fillId="25" borderId="48" xfId="0" applyNumberFormat="1" applyFont="1" applyFill="1" applyBorder="1" applyAlignment="1">
      <alignment horizontal="center"/>
    </xf>
    <xf numFmtId="4" fontId="22" fillId="25" borderId="44" xfId="0" applyNumberFormat="1" applyFont="1" applyFill="1" applyBorder="1" applyAlignment="1">
      <alignment horizontal="center"/>
    </xf>
    <xf numFmtId="4" fontId="22" fillId="25" borderId="28" xfId="0" applyNumberFormat="1" applyFont="1" applyFill="1" applyBorder="1" applyAlignment="1">
      <alignment horizontal="center"/>
    </xf>
    <xf numFmtId="4" fontId="22" fillId="25" borderId="49" xfId="0" applyNumberFormat="1" applyFont="1" applyFill="1" applyBorder="1" applyAlignment="1">
      <alignment horizontal="center"/>
    </xf>
    <xf numFmtId="4" fontId="22" fillId="25" borderId="50" xfId="0" applyNumberFormat="1" applyFont="1" applyFill="1" applyBorder="1" applyAlignment="1">
      <alignment horizontal="center"/>
    </xf>
    <xf numFmtId="49" fontId="22" fillId="25" borderId="20" xfId="0" applyNumberFormat="1" applyFont="1" applyFill="1" applyBorder="1" applyAlignment="1">
      <alignment horizontal="center" vertical="center"/>
    </xf>
    <xf numFmtId="4" fontId="22" fillId="25" borderId="51" xfId="0" applyNumberFormat="1" applyFont="1" applyFill="1" applyBorder="1" applyAlignment="1">
      <alignment horizontal="center"/>
    </xf>
    <xf numFmtId="4" fontId="22" fillId="25" borderId="52" xfId="0" applyNumberFormat="1" applyFont="1" applyFill="1" applyBorder="1" applyAlignment="1">
      <alignment horizontal="center"/>
    </xf>
    <xf numFmtId="4" fontId="22" fillId="25" borderId="46" xfId="0" applyNumberFormat="1" applyFont="1" applyFill="1" applyBorder="1" applyAlignment="1">
      <alignment horizontal="center" vertical="center"/>
    </xf>
    <xf numFmtId="49" fontId="22" fillId="25" borderId="42" xfId="0" applyNumberFormat="1" applyFont="1" applyFill="1" applyBorder="1" applyAlignment="1">
      <alignment horizontal="center" vertical="center"/>
    </xf>
    <xf numFmtId="4" fontId="22" fillId="25" borderId="53" xfId="0" applyNumberFormat="1" applyFont="1" applyFill="1" applyBorder="1" applyAlignment="1">
      <alignment horizontal="center"/>
    </xf>
    <xf numFmtId="4" fontId="22" fillId="25" borderId="47" xfId="0" applyNumberFormat="1" applyFont="1" applyFill="1" applyBorder="1" applyAlignment="1">
      <alignment horizontal="center" vertical="center"/>
    </xf>
    <xf numFmtId="49" fontId="22" fillId="25" borderId="44" xfId="0" applyNumberFormat="1" applyFont="1" applyFill="1" applyBorder="1" applyAlignment="1">
      <alignment horizontal="center" vertical="center"/>
    </xf>
    <xf numFmtId="4" fontId="22" fillId="25" borderId="54" xfId="0" applyNumberFormat="1" applyFont="1" applyFill="1" applyBorder="1" applyAlignment="1">
      <alignment horizontal="center"/>
    </xf>
    <xf numFmtId="4" fontId="22" fillId="25" borderId="55" xfId="0" applyNumberFormat="1" applyFont="1" applyFill="1" applyBorder="1" applyAlignment="1">
      <alignment horizontal="center"/>
    </xf>
    <xf numFmtId="4" fontId="22" fillId="25" borderId="56" xfId="0" applyNumberFormat="1" applyFont="1" applyFill="1" applyBorder="1" applyAlignment="1">
      <alignment horizontal="center" vertical="center"/>
    </xf>
    <xf numFmtId="4" fontId="22" fillId="25" borderId="49" xfId="0" applyNumberFormat="1" applyFont="1" applyFill="1" applyBorder="1" applyAlignment="1">
      <alignment horizontal="center" vertical="center"/>
    </xf>
    <xf numFmtId="4" fontId="22" fillId="25" borderId="43" xfId="0" applyNumberFormat="1" applyFont="1" applyFill="1" applyBorder="1" applyAlignment="1">
      <alignment horizontal="center" vertical="center"/>
    </xf>
    <xf numFmtId="49" fontId="22" fillId="25" borderId="57" xfId="0" applyNumberFormat="1" applyFont="1" applyFill="1" applyBorder="1" applyAlignment="1">
      <alignment horizontal="center" vertical="center"/>
    </xf>
    <xf numFmtId="4" fontId="22" fillId="25" borderId="58" xfId="0" applyNumberFormat="1" applyFont="1" applyFill="1" applyBorder="1" applyAlignment="1">
      <alignment horizontal="center"/>
    </xf>
    <xf numFmtId="4" fontId="22" fillId="25" borderId="45" xfId="0" applyNumberFormat="1" applyFont="1" applyFill="1" applyBorder="1" applyAlignment="1">
      <alignment horizontal="center" vertical="center"/>
    </xf>
    <xf numFmtId="4" fontId="22" fillId="25" borderId="29" xfId="0" applyNumberFormat="1" applyFont="1" applyFill="1" applyBorder="1" applyAlignment="1">
      <alignment horizontal="center"/>
    </xf>
    <xf numFmtId="4" fontId="22" fillId="25" borderId="48" xfId="0" applyNumberFormat="1" applyFont="1" applyFill="1" applyBorder="1" applyAlignment="1">
      <alignment horizontal="center" vertical="center"/>
    </xf>
    <xf numFmtId="4" fontId="22" fillId="25" borderId="58" xfId="0" applyNumberFormat="1" applyFont="1" applyFill="1" applyBorder="1" applyAlignment="1">
      <alignment horizontal="center" vertical="center"/>
    </xf>
    <xf numFmtId="4" fontId="22" fillId="25" borderId="21" xfId="0" applyNumberFormat="1" applyFont="1" applyFill="1" applyBorder="1" applyAlignment="1">
      <alignment horizontal="center"/>
    </xf>
    <xf numFmtId="4" fontId="22" fillId="25" borderId="26" xfId="0" applyNumberFormat="1" applyFont="1" applyFill="1" applyBorder="1" applyAlignment="1">
      <alignment horizontal="center"/>
    </xf>
    <xf numFmtId="4" fontId="22" fillId="25" borderId="43" xfId="0" applyNumberFormat="1" applyFont="1" applyFill="1" applyBorder="1" applyAlignment="1">
      <alignment horizontal="center"/>
    </xf>
    <xf numFmtId="4" fontId="22" fillId="25" borderId="30" xfId="0" applyNumberFormat="1" applyFont="1" applyFill="1" applyBorder="1" applyAlignment="1">
      <alignment horizontal="center"/>
    </xf>
    <xf numFmtId="49" fontId="28" fillId="24" borderId="35" xfId="0" applyNumberFormat="1" applyFont="1" applyFill="1" applyBorder="1" applyAlignment="1">
      <alignment horizontal="center" vertical="center"/>
    </xf>
    <xf numFmtId="4" fontId="28" fillId="24" borderId="35" xfId="0" applyNumberFormat="1" applyFont="1" applyFill="1" applyBorder="1" applyAlignment="1">
      <alignment horizontal="center"/>
    </xf>
    <xf numFmtId="4" fontId="28" fillId="24" borderId="35" xfId="0" applyNumberFormat="1" applyFont="1" applyFill="1" applyBorder="1" applyAlignment="1">
      <alignment horizontal="center" vertical="center"/>
    </xf>
    <xf numFmtId="4" fontId="28" fillId="24" borderId="36" xfId="0" applyNumberFormat="1" applyFont="1" applyFill="1" applyBorder="1" applyAlignment="1">
      <alignment horizontal="center" vertical="center"/>
    </xf>
    <xf numFmtId="4" fontId="28" fillId="24" borderId="50" xfId="0" applyNumberFormat="1" applyFont="1" applyFill="1" applyBorder="1" applyAlignment="1">
      <alignment horizontal="center" vertical="center" wrapText="1"/>
    </xf>
    <xf numFmtId="49" fontId="28" fillId="24" borderId="14" xfId="0" applyNumberFormat="1" applyFont="1" applyFill="1" applyBorder="1" applyAlignment="1">
      <alignment horizontal="center" vertical="center"/>
    </xf>
    <xf numFmtId="4" fontId="28" fillId="24" borderId="14" xfId="0" applyNumberFormat="1" applyFont="1" applyFill="1" applyBorder="1" applyAlignment="1">
      <alignment horizontal="center"/>
    </xf>
    <xf numFmtId="4" fontId="28" fillId="24" borderId="14" xfId="0" applyNumberFormat="1" applyFont="1" applyFill="1" applyBorder="1" applyAlignment="1">
      <alignment horizontal="center" vertical="center"/>
    </xf>
    <xf numFmtId="4" fontId="28" fillId="24" borderId="21" xfId="0" applyNumberFormat="1" applyFont="1" applyFill="1" applyBorder="1" applyAlignment="1">
      <alignment horizontal="center"/>
    </xf>
    <xf numFmtId="4" fontId="28" fillId="24" borderId="37" xfId="0" applyNumberFormat="1" applyFont="1" applyFill="1" applyBorder="1" applyAlignment="1">
      <alignment horizontal="center"/>
    </xf>
    <xf numFmtId="4" fontId="28" fillId="24" borderId="37" xfId="0" applyNumberFormat="1" applyFont="1" applyFill="1" applyBorder="1" applyAlignment="1">
      <alignment horizontal="center" vertical="center"/>
    </xf>
    <xf numFmtId="4" fontId="28" fillId="24" borderId="38" xfId="0" applyNumberFormat="1" applyFont="1" applyFill="1" applyBorder="1" applyAlignment="1">
      <alignment horizontal="center"/>
    </xf>
    <xf numFmtId="4" fontId="22" fillId="25" borderId="16" xfId="0" applyNumberFormat="1" applyFont="1" applyFill="1" applyBorder="1" applyAlignment="1">
      <alignment horizontal="center"/>
    </xf>
    <xf numFmtId="4" fontId="22" fillId="25" borderId="15" xfId="0" applyNumberFormat="1" applyFont="1" applyFill="1" applyBorder="1" applyAlignment="1">
      <alignment horizontal="center"/>
    </xf>
    <xf numFmtId="4" fontId="22" fillId="25" borderId="0" xfId="0" applyNumberFormat="1" applyFont="1" applyFill="1" applyBorder="1" applyAlignment="1">
      <alignment horizontal="center"/>
    </xf>
    <xf numFmtId="4" fontId="22" fillId="24" borderId="59" xfId="0" applyNumberFormat="1" applyFont="1" applyFill="1" applyBorder="1" applyAlignment="1">
      <alignment horizontal="center" vertical="center"/>
    </xf>
    <xf numFmtId="4" fontId="22" fillId="25" borderId="60" xfId="0" applyNumberFormat="1" applyFont="1" applyFill="1" applyBorder="1" applyAlignment="1">
      <alignment horizontal="center"/>
    </xf>
    <xf numFmtId="4" fontId="22" fillId="25" borderId="40" xfId="0" applyNumberFormat="1" applyFont="1" applyFill="1" applyBorder="1" applyAlignment="1">
      <alignment horizontal="center"/>
    </xf>
    <xf numFmtId="4" fontId="22" fillId="25" borderId="61" xfId="0" applyNumberFormat="1" applyFont="1" applyFill="1" applyBorder="1" applyAlignment="1">
      <alignment horizontal="center"/>
    </xf>
    <xf numFmtId="4" fontId="22" fillId="25" borderId="62" xfId="0" applyNumberFormat="1" applyFont="1" applyFill="1" applyBorder="1" applyAlignment="1">
      <alignment horizontal="center"/>
    </xf>
    <xf numFmtId="4" fontId="22" fillId="24" borderId="63" xfId="0" applyNumberFormat="1" applyFont="1" applyFill="1" applyBorder="1" applyAlignment="1">
      <alignment horizontal="center" vertical="center"/>
    </xf>
    <xf numFmtId="4" fontId="22" fillId="25" borderId="64" xfId="0" applyNumberFormat="1" applyFont="1" applyFill="1" applyBorder="1" applyAlignment="1">
      <alignment horizontal="center"/>
    </xf>
    <xf numFmtId="4" fontId="22" fillId="25" borderId="65" xfId="0" applyNumberFormat="1" applyFont="1" applyFill="1" applyBorder="1" applyAlignment="1">
      <alignment horizontal="center"/>
    </xf>
    <xf numFmtId="4" fontId="22" fillId="25" borderId="66" xfId="0" applyNumberFormat="1" applyFont="1" applyFill="1" applyBorder="1" applyAlignment="1">
      <alignment horizontal="center"/>
    </xf>
    <xf numFmtId="4" fontId="22" fillId="25" borderId="67" xfId="0" applyNumberFormat="1" applyFont="1" applyFill="1" applyBorder="1" applyAlignment="1">
      <alignment horizontal="center"/>
    </xf>
    <xf numFmtId="4" fontId="22" fillId="25" borderId="68" xfId="0" applyNumberFormat="1" applyFont="1" applyFill="1" applyBorder="1" applyAlignment="1">
      <alignment horizontal="center"/>
    </xf>
    <xf numFmtId="4" fontId="22" fillId="25" borderId="56" xfId="0" applyNumberFormat="1" applyFont="1" applyFill="1" applyBorder="1" applyAlignment="1">
      <alignment horizontal="center"/>
    </xf>
    <xf numFmtId="4" fontId="22" fillId="25" borderId="69" xfId="0" applyNumberFormat="1" applyFont="1" applyFill="1" applyBorder="1" applyAlignment="1">
      <alignment horizontal="center"/>
    </xf>
    <xf numFmtId="4" fontId="22" fillId="25" borderId="32" xfId="0" applyNumberFormat="1" applyFont="1" applyFill="1" applyBorder="1" applyAlignment="1">
      <alignment horizontal="center"/>
    </xf>
    <xf numFmtId="4" fontId="22" fillId="25" borderId="70" xfId="0" applyNumberFormat="1" applyFont="1" applyFill="1" applyBorder="1" applyAlignment="1">
      <alignment horizontal="center"/>
    </xf>
    <xf numFmtId="4" fontId="22" fillId="25" borderId="33" xfId="0" applyNumberFormat="1" applyFont="1" applyFill="1" applyBorder="1" applyAlignment="1">
      <alignment horizontal="center"/>
    </xf>
    <xf numFmtId="4" fontId="22" fillId="25" borderId="71" xfId="0" applyNumberFormat="1" applyFont="1" applyFill="1" applyBorder="1" applyAlignment="1">
      <alignment horizontal="center" vertical="center"/>
    </xf>
    <xf numFmtId="4" fontId="22" fillId="25" borderId="72" xfId="0" applyNumberFormat="1" applyFont="1" applyFill="1" applyBorder="1" applyAlignment="1">
      <alignment horizontal="center" vertical="center"/>
    </xf>
    <xf numFmtId="4" fontId="22" fillId="25" borderId="73" xfId="0" applyNumberFormat="1" applyFont="1" applyFill="1" applyBorder="1" applyAlignment="1">
      <alignment horizontal="center" vertical="center"/>
    </xf>
    <xf numFmtId="4" fontId="22" fillId="25" borderId="0" xfId="0" applyNumberFormat="1" applyFont="1" applyFill="1" applyBorder="1" applyAlignment="1">
      <alignment horizontal="center" vertical="center"/>
    </xf>
    <xf numFmtId="4" fontId="22" fillId="25" borderId="74" xfId="0" applyNumberFormat="1" applyFont="1" applyFill="1" applyBorder="1" applyAlignment="1">
      <alignment horizontal="center" vertical="center"/>
    </xf>
    <xf numFmtId="4" fontId="22" fillId="24" borderId="35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2" fillId="24" borderId="37" xfId="0" applyNumberFormat="1" applyFont="1" applyFill="1" applyBorder="1" applyAlignment="1">
      <alignment horizontal="center" vertical="center"/>
    </xf>
    <xf numFmtId="49" fontId="35" fillId="25" borderId="26" xfId="0" applyNumberFormat="1" applyFont="1" applyFill="1" applyBorder="1" applyAlignment="1">
      <alignment horizontal="center" vertical="center"/>
    </xf>
    <xf numFmtId="4" fontId="35" fillId="25" borderId="27" xfId="0" applyNumberFormat="1" applyFont="1" applyFill="1" applyBorder="1" applyAlignment="1">
      <alignment horizontal="center"/>
    </xf>
    <xf numFmtId="4" fontId="35" fillId="25" borderId="14" xfId="0" applyNumberFormat="1" applyFont="1" applyFill="1" applyBorder="1" applyAlignment="1">
      <alignment horizontal="center" vertical="center"/>
    </xf>
    <xf numFmtId="4" fontId="35" fillId="24" borderId="37" xfId="0" applyNumberFormat="1" applyFont="1" applyFill="1" applyBorder="1" applyAlignment="1">
      <alignment horizontal="center" vertical="center"/>
    </xf>
    <xf numFmtId="4" fontId="35" fillId="25" borderId="37" xfId="0" applyNumberFormat="1" applyFont="1" applyFill="1" applyBorder="1" applyAlignment="1">
      <alignment horizontal="center" vertical="center"/>
    </xf>
    <xf numFmtId="4" fontId="35" fillId="25" borderId="26" xfId="0" applyNumberFormat="1" applyFont="1" applyFill="1" applyBorder="1" applyAlignment="1">
      <alignment horizontal="center" vertical="center"/>
    </xf>
    <xf numFmtId="4" fontId="35" fillId="25" borderId="30" xfId="0" applyNumberFormat="1" applyFont="1" applyFill="1" applyBorder="1" applyAlignment="1">
      <alignment horizontal="center" vertical="center"/>
    </xf>
    <xf numFmtId="4" fontId="35" fillId="25" borderId="15" xfId="0" applyNumberFormat="1" applyFont="1" applyFill="1" applyBorder="1" applyAlignment="1">
      <alignment horizontal="center" vertical="center"/>
    </xf>
    <xf numFmtId="4" fontId="35" fillId="25" borderId="75" xfId="0" applyNumberFormat="1" applyFont="1" applyFill="1" applyBorder="1" applyAlignment="1">
      <alignment horizontal="center"/>
    </xf>
    <xf numFmtId="4" fontId="22" fillId="24" borderId="16" xfId="0" applyNumberFormat="1" applyFont="1" applyFill="1" applyBorder="1" applyAlignment="1">
      <alignment horizontal="center" vertical="center"/>
    </xf>
    <xf numFmtId="4" fontId="22" fillId="24" borderId="21" xfId="0" applyNumberFormat="1" applyFont="1" applyFill="1" applyBorder="1" applyAlignment="1">
      <alignment horizontal="center" vertical="center"/>
    </xf>
    <xf numFmtId="4" fontId="35" fillId="25" borderId="38" xfId="0" applyNumberFormat="1" applyFont="1" applyFill="1" applyBorder="1" applyAlignment="1">
      <alignment horizontal="center" vertical="center"/>
    </xf>
    <xf numFmtId="4" fontId="22" fillId="24" borderId="76" xfId="0" applyNumberFormat="1" applyFont="1" applyFill="1" applyBorder="1" applyAlignment="1">
      <alignment horizontal="center"/>
    </xf>
    <xf numFmtId="4" fontId="35" fillId="24" borderId="26" xfId="0" applyNumberFormat="1" applyFont="1" applyFill="1" applyBorder="1" applyAlignment="1">
      <alignment horizontal="center" vertical="center"/>
    </xf>
    <xf numFmtId="4" fontId="35" fillId="25" borderId="28" xfId="0" applyNumberFormat="1" applyFont="1" applyFill="1" applyBorder="1" applyAlignment="1">
      <alignment horizontal="center" vertical="center"/>
    </xf>
    <xf numFmtId="4" fontId="35" fillId="24" borderId="29" xfId="0" applyNumberFormat="1" applyFont="1" applyFill="1" applyBorder="1" applyAlignment="1">
      <alignment horizontal="center" vertical="center"/>
    </xf>
    <xf numFmtId="4" fontId="35" fillId="25" borderId="77" xfId="0" applyNumberFormat="1" applyFont="1" applyFill="1" applyBorder="1" applyAlignment="1">
      <alignment horizontal="center"/>
    </xf>
    <xf numFmtId="4" fontId="26" fillId="25" borderId="52" xfId="0" applyNumberFormat="1" applyFont="1" applyFill="1" applyBorder="1" applyAlignment="1">
      <alignment horizontal="center" vertical="center"/>
    </xf>
    <xf numFmtId="4" fontId="22" fillId="25" borderId="52" xfId="0" applyNumberFormat="1" applyFont="1" applyFill="1" applyBorder="1" applyAlignment="1">
      <alignment horizontal="center" vertical="center"/>
    </xf>
    <xf numFmtId="4" fontId="26" fillId="25" borderId="14" xfId="0" applyNumberFormat="1" applyFont="1" applyFill="1" applyBorder="1" applyAlignment="1">
      <alignment horizontal="center" vertical="center"/>
    </xf>
    <xf numFmtId="4" fontId="35" fillId="25" borderId="78" xfId="0" applyNumberFormat="1" applyFont="1" applyFill="1" applyBorder="1" applyAlignment="1">
      <alignment horizontal="center"/>
    </xf>
    <xf numFmtId="4" fontId="36" fillId="25" borderId="38" xfId="0" applyNumberFormat="1" applyFont="1" applyFill="1" applyBorder="1" applyAlignment="1">
      <alignment horizontal="center" vertical="center"/>
    </xf>
    <xf numFmtId="4" fontId="36" fillId="25" borderId="55" xfId="0" applyNumberFormat="1" applyFont="1" applyFill="1" applyBorder="1" applyAlignment="1">
      <alignment horizontal="center" vertical="center"/>
    </xf>
    <xf numFmtId="4" fontId="26" fillId="24" borderId="67" xfId="0" applyNumberFormat="1" applyFont="1" applyFill="1" applyBorder="1" applyAlignment="1">
      <alignment horizontal="center"/>
    </xf>
    <xf numFmtId="49" fontId="22" fillId="25" borderId="19" xfId="0" applyNumberFormat="1" applyFont="1" applyFill="1" applyBorder="1" applyAlignment="1">
      <alignment horizontal="center" vertical="center"/>
    </xf>
    <xf numFmtId="4" fontId="25" fillId="24" borderId="39" xfId="0" applyNumberFormat="1" applyFont="1" applyFill="1" applyBorder="1" applyAlignment="1">
      <alignment horizontal="center" vertical="center"/>
    </xf>
    <xf numFmtId="4" fontId="35" fillId="25" borderId="0" xfId="0" applyNumberFormat="1" applyFont="1" applyFill="1" applyBorder="1" applyAlignment="1">
      <alignment horizontal="center"/>
    </xf>
    <xf numFmtId="4" fontId="35" fillId="25" borderId="32" xfId="0" applyNumberFormat="1" applyFont="1" applyFill="1" applyBorder="1" applyAlignment="1">
      <alignment horizontal="center" vertical="center"/>
    </xf>
    <xf numFmtId="4" fontId="22" fillId="25" borderId="60" xfId="0" applyNumberFormat="1" applyFont="1" applyFill="1" applyBorder="1" applyAlignment="1">
      <alignment horizontal="center" vertical="center"/>
    </xf>
    <xf numFmtId="49" fontId="22" fillId="25" borderId="24" xfId="0" applyNumberFormat="1" applyFont="1" applyFill="1" applyBorder="1" applyAlignment="1">
      <alignment horizontal="center" vertical="center"/>
    </xf>
    <xf numFmtId="4" fontId="25" fillId="24" borderId="41" xfId="0" applyNumberFormat="1" applyFont="1" applyFill="1" applyBorder="1" applyAlignment="1">
      <alignment horizontal="center" vertical="center"/>
    </xf>
    <xf numFmtId="4" fontId="35" fillId="25" borderId="79" xfId="0" applyNumberFormat="1" applyFont="1" applyFill="1" applyBorder="1" applyAlignment="1">
      <alignment horizontal="center" vertical="center"/>
    </xf>
    <xf numFmtId="4" fontId="22" fillId="25" borderId="22" xfId="0" applyNumberFormat="1" applyFont="1" applyFill="1" applyBorder="1" applyAlignment="1">
      <alignment horizontal="center" vertical="center"/>
    </xf>
    <xf numFmtId="49" fontId="35" fillId="25" borderId="29" xfId="0" applyNumberFormat="1" applyFont="1" applyFill="1" applyBorder="1" applyAlignment="1">
      <alignment horizontal="center" vertical="center"/>
    </xf>
    <xf numFmtId="4" fontId="25" fillId="24" borderId="43" xfId="0" applyNumberFormat="1" applyFont="1" applyFill="1" applyBorder="1" applyAlignment="1">
      <alignment horizontal="center" vertical="center"/>
    </xf>
    <xf numFmtId="4" fontId="35" fillId="25" borderId="80" xfId="0" applyNumberFormat="1" applyFont="1" applyFill="1" applyBorder="1" applyAlignment="1">
      <alignment horizontal="center" vertical="center"/>
    </xf>
    <xf numFmtId="4" fontId="36" fillId="25" borderId="28" xfId="0" applyNumberFormat="1" applyFont="1" applyFill="1" applyBorder="1" applyAlignment="1">
      <alignment horizontal="center" vertical="center"/>
    </xf>
    <xf numFmtId="4" fontId="36" fillId="25" borderId="68" xfId="0" applyNumberFormat="1" applyFont="1" applyFill="1" applyBorder="1" applyAlignment="1">
      <alignment horizontal="center" vertical="center"/>
    </xf>
    <xf numFmtId="4" fontId="35" fillId="25" borderId="18" xfId="0" applyNumberFormat="1" applyFont="1" applyFill="1" applyBorder="1" applyAlignment="1">
      <alignment horizontal="center" vertical="center"/>
    </xf>
    <xf numFmtId="4" fontId="22" fillId="24" borderId="32" xfId="0" applyNumberFormat="1" applyFont="1" applyFill="1" applyBorder="1" applyAlignment="1">
      <alignment horizontal="center"/>
    </xf>
    <xf numFmtId="4" fontId="22" fillId="24" borderId="81" xfId="0" applyNumberFormat="1" applyFont="1" applyFill="1" applyBorder="1" applyAlignment="1">
      <alignment horizontal="center"/>
    </xf>
    <xf numFmtId="4" fontId="35" fillId="25" borderId="82" xfId="0" applyNumberFormat="1" applyFont="1" applyFill="1" applyBorder="1" applyAlignment="1">
      <alignment horizontal="center" vertical="center"/>
    </xf>
    <xf numFmtId="4" fontId="35" fillId="25" borderId="23" xfId="0" applyNumberFormat="1" applyFont="1" applyFill="1" applyBorder="1" applyAlignment="1">
      <alignment horizontal="center" vertical="center"/>
    </xf>
    <xf numFmtId="4" fontId="22" fillId="24" borderId="79" xfId="0" applyNumberFormat="1" applyFont="1" applyFill="1" applyBorder="1" applyAlignment="1">
      <alignment horizontal="center"/>
    </xf>
    <xf numFmtId="4" fontId="22" fillId="24" borderId="83" xfId="0" applyNumberFormat="1" applyFont="1" applyFill="1" applyBorder="1" applyAlignment="1">
      <alignment horizontal="center"/>
    </xf>
    <xf numFmtId="4" fontId="35" fillId="25" borderId="84" xfId="0" applyNumberFormat="1" applyFont="1" applyFill="1" applyBorder="1" applyAlignment="1">
      <alignment horizontal="center" vertical="center"/>
    </xf>
    <xf numFmtId="4" fontId="22" fillId="24" borderId="80" xfId="0" applyNumberFormat="1" applyFont="1" applyFill="1" applyBorder="1" applyAlignment="1">
      <alignment horizontal="center"/>
    </xf>
    <xf numFmtId="4" fontId="22" fillId="24" borderId="85" xfId="0" applyNumberFormat="1" applyFont="1" applyFill="1" applyBorder="1" applyAlignment="1">
      <alignment horizontal="center"/>
    </xf>
    <xf numFmtId="4" fontId="35" fillId="25" borderId="86" xfId="0" applyNumberFormat="1" applyFont="1" applyFill="1" applyBorder="1" applyAlignment="1">
      <alignment horizontal="center" vertical="center"/>
    </xf>
    <xf numFmtId="4" fontId="22" fillId="24" borderId="87" xfId="0" applyNumberFormat="1" applyFont="1" applyFill="1" applyBorder="1" applyAlignment="1">
      <alignment horizontal="center"/>
    </xf>
    <xf numFmtId="4" fontId="22" fillId="24" borderId="64" xfId="0" applyNumberFormat="1" applyFont="1" applyFill="1" applyBorder="1" applyAlignment="1">
      <alignment horizontal="center"/>
    </xf>
    <xf numFmtId="4" fontId="35" fillId="25" borderId="33" xfId="0" applyNumberFormat="1" applyFont="1" applyFill="1" applyBorder="1" applyAlignment="1">
      <alignment horizontal="center" vertical="center"/>
    </xf>
    <xf numFmtId="4" fontId="22" fillId="24" borderId="69" xfId="0" applyNumberFormat="1" applyFont="1" applyFill="1" applyBorder="1" applyAlignment="1">
      <alignment horizontal="center"/>
    </xf>
    <xf numFmtId="4" fontId="35" fillId="25" borderId="31" xfId="0" applyNumberFormat="1" applyFont="1" applyFill="1" applyBorder="1" applyAlignment="1">
      <alignment horizontal="center" vertical="center"/>
    </xf>
    <xf numFmtId="4" fontId="35" fillId="25" borderId="43" xfId="0" applyNumberFormat="1" applyFont="1" applyFill="1" applyBorder="1" applyAlignment="1">
      <alignment horizontal="center" vertical="center"/>
    </xf>
    <xf numFmtId="4" fontId="22" fillId="24" borderId="88" xfId="0" applyNumberFormat="1" applyFont="1" applyFill="1" applyBorder="1" applyAlignment="1">
      <alignment horizontal="center"/>
    </xf>
    <xf numFmtId="4" fontId="35" fillId="25" borderId="36" xfId="0" applyNumberFormat="1" applyFont="1" applyFill="1" applyBorder="1" applyAlignment="1">
      <alignment horizontal="center" vertical="center"/>
    </xf>
    <xf numFmtId="4" fontId="22" fillId="24" borderId="89" xfId="0" applyNumberFormat="1" applyFont="1" applyFill="1" applyBorder="1" applyAlignment="1">
      <alignment horizontal="center"/>
    </xf>
    <xf numFmtId="4" fontId="22" fillId="24" borderId="90" xfId="0" applyNumberFormat="1" applyFont="1" applyFill="1" applyBorder="1" applyAlignment="1">
      <alignment horizontal="center"/>
    </xf>
    <xf numFmtId="4" fontId="35" fillId="25" borderId="91" xfId="0" applyNumberFormat="1" applyFont="1" applyFill="1" applyBorder="1" applyAlignment="1">
      <alignment horizontal="center" vertical="center"/>
    </xf>
    <xf numFmtId="4" fontId="35" fillId="25" borderId="57" xfId="0" applyNumberFormat="1" applyFont="1" applyFill="1" applyBorder="1" applyAlignment="1">
      <alignment horizontal="center" vertical="center"/>
    </xf>
    <xf numFmtId="4" fontId="35" fillId="25" borderId="21" xfId="0" applyNumberFormat="1" applyFont="1" applyFill="1" applyBorder="1" applyAlignment="1">
      <alignment horizontal="center" vertical="center"/>
    </xf>
    <xf numFmtId="49" fontId="22" fillId="24" borderId="92" xfId="0" applyNumberFormat="1" applyFont="1" applyFill="1" applyBorder="1" applyAlignment="1">
      <alignment horizontal="center" vertical="center" wrapText="1"/>
    </xf>
    <xf numFmtId="4" fontId="22" fillId="24" borderId="93" xfId="0" applyNumberFormat="1" applyFont="1" applyFill="1" applyBorder="1" applyAlignment="1">
      <alignment horizontal="center"/>
    </xf>
    <xf numFmtId="4" fontId="22" fillId="24" borderId="94" xfId="0" applyNumberFormat="1" applyFont="1" applyFill="1" applyBorder="1" applyAlignment="1">
      <alignment horizontal="center"/>
    </xf>
    <xf numFmtId="4" fontId="22" fillId="24" borderId="13" xfId="0" applyNumberFormat="1" applyFont="1" applyFill="1" applyBorder="1" applyAlignment="1">
      <alignment horizontal="center"/>
    </xf>
    <xf numFmtId="4" fontId="22" fillId="24" borderId="65" xfId="0" applyNumberFormat="1" applyFont="1" applyFill="1" applyBorder="1" applyAlignment="1">
      <alignment horizontal="center"/>
    </xf>
    <xf numFmtId="49" fontId="22" fillId="26" borderId="16" xfId="0" applyNumberFormat="1" applyFont="1" applyFill="1" applyBorder="1" applyAlignment="1">
      <alignment horizontal="center" vertical="center"/>
    </xf>
    <xf numFmtId="4" fontId="22" fillId="26" borderId="17" xfId="0" applyNumberFormat="1" applyFont="1" applyFill="1" applyBorder="1" applyAlignment="1">
      <alignment horizontal="center" vertical="center"/>
    </xf>
    <xf numFmtId="4" fontId="22" fillId="26" borderId="35" xfId="0" applyNumberFormat="1" applyFont="1" applyFill="1" applyBorder="1" applyAlignment="1">
      <alignment horizontal="center" vertical="center"/>
    </xf>
    <xf numFmtId="4" fontId="22" fillId="26" borderId="20" xfId="0" applyNumberFormat="1" applyFont="1" applyFill="1" applyBorder="1" applyAlignment="1">
      <alignment horizontal="center" vertical="center"/>
    </xf>
    <xf numFmtId="49" fontId="22" fillId="26" borderId="21" xfId="0" applyNumberFormat="1" applyFont="1" applyFill="1" applyBorder="1" applyAlignment="1">
      <alignment horizontal="center" vertical="center"/>
    </xf>
    <xf numFmtId="4" fontId="22" fillId="26" borderId="22" xfId="0" applyNumberFormat="1" applyFont="1" applyFill="1" applyBorder="1" applyAlignment="1">
      <alignment horizontal="center" vertical="center"/>
    </xf>
    <xf numFmtId="4" fontId="22" fillId="26" borderId="14" xfId="0" applyNumberFormat="1" applyFont="1" applyFill="1" applyBorder="1" applyAlignment="1">
      <alignment horizontal="center" vertical="center"/>
    </xf>
    <xf numFmtId="4" fontId="22" fillId="26" borderId="25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" fontId="22" fillId="26" borderId="27" xfId="0" applyNumberFormat="1" applyFont="1" applyFill="1" applyBorder="1" applyAlignment="1">
      <alignment horizontal="center" vertical="center"/>
    </xf>
    <xf numFmtId="4" fontId="22" fillId="26" borderId="37" xfId="0" applyNumberFormat="1" applyFont="1" applyFill="1" applyBorder="1" applyAlignment="1">
      <alignment horizontal="center" vertical="center"/>
    </xf>
    <xf numFmtId="4" fontId="22" fillId="26" borderId="30" xfId="0" applyNumberFormat="1" applyFont="1" applyFill="1" applyBorder="1" applyAlignment="1">
      <alignment horizontal="center" vertical="center"/>
    </xf>
    <xf numFmtId="4" fontId="19" fillId="24" borderId="0" xfId="0" applyNumberFormat="1" applyFont="1" applyFill="1" applyBorder="1" applyAlignment="1">
      <alignment horizontal="center" vertical="center"/>
    </xf>
    <xf numFmtId="4" fontId="28" fillId="24" borderId="25" xfId="0" applyNumberFormat="1" applyFont="1" applyFill="1" applyBorder="1" applyAlignment="1">
      <alignment horizontal="center" vertical="center"/>
    </xf>
    <xf numFmtId="49" fontId="28" fillId="24" borderId="37" xfId="0" applyNumberFormat="1" applyFont="1" applyFill="1" applyBorder="1" applyAlignment="1">
      <alignment horizontal="center" vertical="center"/>
    </xf>
    <xf numFmtId="4" fontId="28" fillId="24" borderId="30" xfId="0" applyNumberFormat="1" applyFont="1" applyFill="1" applyBorder="1" applyAlignment="1">
      <alignment horizontal="center" vertical="center"/>
    </xf>
    <xf numFmtId="4" fontId="28" fillId="24" borderId="38" xfId="0" applyNumberFormat="1" applyFont="1" applyFill="1" applyBorder="1" applyAlignment="1">
      <alignment horizontal="center" vertical="center"/>
    </xf>
    <xf numFmtId="4" fontId="22" fillId="26" borderId="19" xfId="0" applyNumberFormat="1" applyFont="1" applyFill="1" applyBorder="1" applyAlignment="1">
      <alignment horizontal="center" vertical="center"/>
    </xf>
    <xf numFmtId="4" fontId="22" fillId="26" borderId="18" xfId="0" applyNumberFormat="1" applyFont="1" applyFill="1" applyBorder="1" applyAlignment="1">
      <alignment horizontal="center" vertical="center"/>
    </xf>
    <xf numFmtId="4" fontId="22" fillId="26" borderId="24" xfId="0" applyNumberFormat="1" applyFont="1" applyFill="1" applyBorder="1" applyAlignment="1">
      <alignment horizontal="center" vertical="center"/>
    </xf>
    <xf numFmtId="4" fontId="22" fillId="26" borderId="23" xfId="0" applyNumberFormat="1" applyFont="1" applyFill="1" applyBorder="1" applyAlignment="1">
      <alignment horizontal="center" vertical="center"/>
    </xf>
    <xf numFmtId="4" fontId="22" fillId="26" borderId="29" xfId="0" applyNumberFormat="1" applyFont="1" applyFill="1" applyBorder="1" applyAlignment="1">
      <alignment horizontal="center" vertical="center"/>
    </xf>
    <xf numFmtId="4" fontId="22" fillId="26" borderId="28" xfId="0" applyNumberFormat="1" applyFont="1" applyFill="1" applyBorder="1" applyAlignment="1">
      <alignment horizontal="center" vertical="center"/>
    </xf>
    <xf numFmtId="49" fontId="22" fillId="24" borderId="35" xfId="0" applyNumberFormat="1" applyFont="1" applyFill="1" applyBorder="1" applyAlignment="1">
      <alignment horizontal="center" vertical="center"/>
    </xf>
    <xf numFmtId="49" fontId="22" fillId="24" borderId="36" xfId="0" applyNumberFormat="1" applyFont="1" applyFill="1" applyBorder="1" applyAlignment="1">
      <alignment horizontal="center" vertical="center"/>
    </xf>
    <xf numFmtId="4" fontId="22" fillId="24" borderId="58" xfId="0" applyNumberFormat="1" applyFont="1" applyFill="1" applyBorder="1" applyAlignment="1">
      <alignment horizontal="center" vertical="center"/>
    </xf>
    <xf numFmtId="49" fontId="22" fillId="24" borderId="14" xfId="0" applyNumberFormat="1" applyFont="1" applyFill="1" applyBorder="1" applyAlignment="1">
      <alignment horizontal="center" vertical="center"/>
    </xf>
    <xf numFmtId="49" fontId="22" fillId="24" borderId="38" xfId="0" applyNumberFormat="1" applyFont="1" applyFill="1" applyBorder="1" applyAlignment="1">
      <alignment horizontal="center" vertical="center"/>
    </xf>
    <xf numFmtId="4" fontId="22" fillId="24" borderId="0" xfId="0" applyNumberFormat="1" applyFont="1" applyFill="1" applyBorder="1" applyAlignment="1">
      <alignment horizontal="center" vertical="center"/>
    </xf>
    <xf numFmtId="49" fontId="21" fillId="24" borderId="53" xfId="0" applyNumberFormat="1" applyFont="1" applyFill="1" applyBorder="1" applyAlignment="1">
      <alignment horizontal="center" vertical="center"/>
    </xf>
    <xf numFmtId="49" fontId="22" fillId="24" borderId="14" xfId="0" applyNumberFormat="1" applyFont="1" applyFill="1" applyBorder="1" applyAlignment="1">
      <alignment horizontal="left" vertical="center" wrapText="1"/>
    </xf>
    <xf numFmtId="49" fontId="29" fillId="24" borderId="14" xfId="0" applyNumberFormat="1" applyFont="1" applyFill="1" applyBorder="1" applyAlignment="1">
      <alignment horizontal="center" vertical="center"/>
    </xf>
    <xf numFmtId="4" fontId="22" fillId="25" borderId="17" xfId="0" applyNumberFormat="1" applyFont="1" applyFill="1" applyBorder="1" applyAlignment="1">
      <alignment horizontal="center" vertical="center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22" xfId="0" applyNumberFormat="1" applyFont="1" applyFill="1" applyBorder="1" applyAlignment="1">
      <alignment horizontal="center" vertical="center"/>
    </xf>
    <xf numFmtId="49" fontId="22" fillId="25" borderId="27" xfId="0" applyNumberFormat="1" applyFont="1" applyFill="1" applyBorder="1" applyAlignment="1">
      <alignment horizontal="center" vertical="center"/>
    </xf>
    <xf numFmtId="49" fontId="26" fillId="24" borderId="35" xfId="0" applyNumberFormat="1" applyFont="1" applyFill="1" applyBorder="1" applyAlignment="1">
      <alignment horizontal="center" vertical="center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37" xfId="0" applyNumberFormat="1" applyFont="1" applyFill="1" applyBorder="1" applyAlignment="1">
      <alignment horizontal="center" vertical="center"/>
    </xf>
    <xf numFmtId="2" fontId="26" fillId="24" borderId="37" xfId="0" applyNumberFormat="1" applyFont="1" applyFill="1" applyBorder="1" applyAlignment="1">
      <alignment horizontal="center" vertical="center"/>
    </xf>
    <xf numFmtId="49" fontId="22" fillId="24" borderId="26" xfId="0" applyNumberFormat="1" applyFont="1" applyFill="1" applyBorder="1" applyAlignment="1">
      <alignment horizontal="center" vertical="center"/>
    </xf>
    <xf numFmtId="4" fontId="26" fillId="24" borderId="35" xfId="0" applyNumberFormat="1" applyFont="1" applyFill="1" applyBorder="1" applyAlignment="1">
      <alignment horizontal="center" vertical="center"/>
    </xf>
    <xf numFmtId="4" fontId="26" fillId="24" borderId="20" xfId="0" applyNumberFormat="1" applyFont="1" applyFill="1" applyBorder="1" applyAlignment="1">
      <alignment horizontal="center" vertical="center"/>
    </xf>
    <xf numFmtId="4" fontId="26" fillId="24" borderId="14" xfId="0" applyNumberFormat="1" applyFont="1" applyFill="1" applyBorder="1" applyAlignment="1">
      <alignment horizontal="center" vertical="center"/>
    </xf>
    <xf numFmtId="4" fontId="26" fillId="24" borderId="25" xfId="0" applyNumberFormat="1" applyFont="1" applyFill="1" applyBorder="1" applyAlignment="1">
      <alignment horizontal="center" vertical="center"/>
    </xf>
    <xf numFmtId="4" fontId="26" fillId="24" borderId="37" xfId="0" applyNumberFormat="1" applyFont="1" applyFill="1" applyBorder="1" applyAlignment="1">
      <alignment horizontal="center" vertical="center"/>
    </xf>
    <xf numFmtId="4" fontId="26" fillId="24" borderId="30" xfId="0" applyNumberFormat="1" applyFont="1" applyFill="1" applyBorder="1" applyAlignment="1">
      <alignment horizontal="center" vertical="center"/>
    </xf>
    <xf numFmtId="4" fontId="22" fillId="26" borderId="16" xfId="0" applyNumberFormat="1" applyFont="1" applyFill="1" applyBorder="1" applyAlignment="1">
      <alignment horizontal="center" vertical="center"/>
    </xf>
    <xf numFmtId="4" fontId="22" fillId="26" borderId="21" xfId="0" applyNumberFormat="1" applyFont="1" applyFill="1" applyBorder="1" applyAlignment="1">
      <alignment horizontal="center" vertical="center"/>
    </xf>
    <xf numFmtId="4" fontId="22" fillId="26" borderId="26" xfId="0" applyNumberFormat="1" applyFont="1" applyFill="1" applyBorder="1" applyAlignment="1">
      <alignment horizontal="center" vertical="center"/>
    </xf>
    <xf numFmtId="4" fontId="22" fillId="27" borderId="16" xfId="0" applyNumberFormat="1" applyFont="1" applyFill="1" applyBorder="1" applyAlignment="1">
      <alignment horizontal="center" vertical="center"/>
    </xf>
    <xf numFmtId="4" fontId="19" fillId="27" borderId="18" xfId="0" applyNumberFormat="1" applyFont="1" applyFill="1" applyBorder="1" applyAlignment="1">
      <alignment horizontal="center" vertical="center"/>
    </xf>
    <xf numFmtId="4" fontId="19" fillId="27" borderId="17" xfId="0" applyNumberFormat="1" applyFont="1" applyFill="1" applyBorder="1" applyAlignment="1">
      <alignment horizontal="center" vertical="center"/>
    </xf>
    <xf numFmtId="4" fontId="19" fillId="27" borderId="35" xfId="0" applyNumberFormat="1" applyFont="1" applyFill="1" applyBorder="1" applyAlignment="1">
      <alignment horizontal="center" vertical="center"/>
    </xf>
    <xf numFmtId="4" fontId="19" fillId="27" borderId="20" xfId="0" applyNumberFormat="1" applyFont="1" applyFill="1" applyBorder="1" applyAlignment="1">
      <alignment horizontal="center" vertical="center"/>
    </xf>
    <xf numFmtId="4" fontId="22" fillId="27" borderId="21" xfId="0" applyNumberFormat="1" applyFont="1" applyFill="1" applyBorder="1" applyAlignment="1">
      <alignment horizontal="center" vertical="center"/>
    </xf>
    <xf numFmtId="4" fontId="19" fillId="27" borderId="23" xfId="0" applyNumberFormat="1" applyFont="1" applyFill="1" applyBorder="1" applyAlignment="1">
      <alignment horizontal="center" vertical="center"/>
    </xf>
    <xf numFmtId="4" fontId="19" fillId="27" borderId="22" xfId="0" applyNumberFormat="1" applyFont="1" applyFill="1" applyBorder="1" applyAlignment="1">
      <alignment horizontal="center" vertical="center"/>
    </xf>
    <xf numFmtId="4" fontId="19" fillId="27" borderId="14" xfId="0" applyNumberFormat="1" applyFont="1" applyFill="1" applyBorder="1" applyAlignment="1">
      <alignment horizontal="center" vertical="center"/>
    </xf>
    <xf numFmtId="4" fontId="19" fillId="27" borderId="25" xfId="0" applyNumberFormat="1" applyFont="1" applyFill="1" applyBorder="1" applyAlignment="1">
      <alignment horizontal="center" vertical="center"/>
    </xf>
    <xf numFmtId="4" fontId="22" fillId="27" borderId="26" xfId="0" applyNumberFormat="1" applyFont="1" applyFill="1" applyBorder="1" applyAlignment="1">
      <alignment horizontal="center" vertical="center"/>
    </xf>
    <xf numFmtId="4" fontId="19" fillId="27" borderId="27" xfId="0" applyNumberFormat="1" applyFont="1" applyFill="1" applyBorder="1" applyAlignment="1">
      <alignment horizontal="center" vertical="center"/>
    </xf>
    <xf numFmtId="4" fontId="19" fillId="27" borderId="38" xfId="0" applyNumberFormat="1" applyFont="1" applyFill="1" applyBorder="1" applyAlignment="1">
      <alignment horizontal="center" vertical="center"/>
    </xf>
    <xf numFmtId="4" fontId="19" fillId="27" borderId="50" xfId="0" applyNumberFormat="1" applyFont="1" applyFill="1" applyBorder="1" applyAlignment="1">
      <alignment horizontal="center" vertical="center"/>
    </xf>
    <xf numFmtId="4" fontId="19" fillId="24" borderId="54" xfId="0" applyNumberFormat="1" applyFont="1" applyFill="1" applyBorder="1" applyAlignment="1">
      <alignment horizontal="center" vertical="center"/>
    </xf>
    <xf numFmtId="4" fontId="19" fillId="24" borderId="55" xfId="0" applyNumberFormat="1" applyFont="1" applyFill="1" applyBorder="1" applyAlignment="1">
      <alignment horizontal="center" vertical="center"/>
    </xf>
    <xf numFmtId="4" fontId="19" fillId="24" borderId="56" xfId="0" applyNumberFormat="1" applyFont="1" applyFill="1" applyBorder="1" applyAlignment="1">
      <alignment horizontal="center" vertical="center"/>
    </xf>
    <xf numFmtId="4" fontId="19" fillId="27" borderId="28" xfId="0" applyNumberFormat="1" applyFont="1" applyFill="1" applyBorder="1" applyAlignment="1">
      <alignment horizontal="center" vertical="center"/>
    </xf>
    <xf numFmtId="4" fontId="19" fillId="24" borderId="48" xfId="0" applyNumberFormat="1" applyFont="1" applyFill="1" applyBorder="1" applyAlignment="1">
      <alignment horizontal="center" vertical="center"/>
    </xf>
    <xf numFmtId="4" fontId="19" fillId="24" borderId="95" xfId="0" applyNumberFormat="1" applyFont="1" applyFill="1" applyBorder="1" applyAlignment="1">
      <alignment horizontal="center" vertical="center"/>
    </xf>
    <xf numFmtId="4" fontId="19" fillId="24" borderId="96" xfId="0" applyNumberFormat="1" applyFont="1" applyFill="1" applyBorder="1" applyAlignment="1">
      <alignment horizontal="center" vertical="center"/>
    </xf>
    <xf numFmtId="4" fontId="37" fillId="24" borderId="61" xfId="0" applyNumberFormat="1" applyFont="1" applyFill="1" applyBorder="1" applyAlignment="1">
      <alignment horizontal="center" vertical="center" wrapText="1"/>
    </xf>
    <xf numFmtId="4" fontId="37" fillId="24" borderId="50" xfId="0" applyNumberFormat="1" applyFont="1" applyFill="1" applyBorder="1" applyAlignment="1">
      <alignment horizontal="center" vertical="center" wrapText="1"/>
    </xf>
    <xf numFmtId="4" fontId="37" fillId="24" borderId="30" xfId="0" applyNumberFormat="1" applyFont="1" applyFill="1" applyBorder="1" applyAlignment="1">
      <alignment horizontal="center" vertical="center" wrapText="1"/>
    </xf>
    <xf numFmtId="49" fontId="22" fillId="24" borderId="97" xfId="0" applyNumberFormat="1" applyFont="1" applyFill="1" applyBorder="1" applyAlignment="1">
      <alignment horizontal="left" vertical="center" wrapText="1"/>
    </xf>
    <xf numFmtId="49" fontId="22" fillId="24" borderId="98" xfId="0" applyNumberFormat="1" applyFont="1" applyFill="1" applyBorder="1" applyAlignment="1">
      <alignment horizontal="left" vertical="center" wrapText="1"/>
    </xf>
    <xf numFmtId="49" fontId="22" fillId="24" borderId="99" xfId="0" applyNumberFormat="1" applyFont="1" applyFill="1" applyBorder="1" applyAlignment="1">
      <alignment horizontal="left" vertical="center" wrapText="1"/>
    </xf>
    <xf numFmtId="49" fontId="22" fillId="24" borderId="100" xfId="0" applyNumberFormat="1" applyFont="1" applyFill="1" applyBorder="1" applyAlignment="1">
      <alignment horizontal="center" vertical="center" wrapText="1"/>
    </xf>
    <xf numFmtId="49" fontId="22" fillId="24" borderId="101" xfId="0" applyNumberFormat="1" applyFont="1" applyFill="1" applyBorder="1" applyAlignment="1">
      <alignment horizontal="center" vertical="center" wrapText="1"/>
    </xf>
    <xf numFmtId="49" fontId="22" fillId="24" borderId="102" xfId="0" applyNumberFormat="1" applyFont="1" applyFill="1" applyBorder="1" applyAlignment="1">
      <alignment horizontal="center" vertical="center" wrapText="1"/>
    </xf>
    <xf numFmtId="2" fontId="19" fillId="24" borderId="103" xfId="0" applyNumberFormat="1" applyFont="1" applyFill="1" applyBorder="1" applyAlignment="1">
      <alignment horizontal="center" vertical="center" wrapText="1"/>
    </xf>
    <xf numFmtId="2" fontId="19" fillId="24" borderId="29" xfId="0" applyNumberFormat="1" applyFont="1" applyFill="1" applyBorder="1" applyAlignment="1">
      <alignment horizontal="center" vertical="center" wrapText="1"/>
    </xf>
    <xf numFmtId="2" fontId="19" fillId="24" borderId="31" xfId="0" applyNumberFormat="1" applyFont="1" applyFill="1" applyBorder="1" applyAlignment="1">
      <alignment horizontal="center" vertical="center" wrapText="1"/>
    </xf>
    <xf numFmtId="2" fontId="19" fillId="24" borderId="27" xfId="0" applyNumberFormat="1" applyFont="1" applyFill="1" applyBorder="1" applyAlignment="1">
      <alignment horizontal="center" vertical="center" wrapText="1"/>
    </xf>
    <xf numFmtId="49" fontId="22" fillId="24" borderId="93" xfId="0" applyNumberFormat="1" applyFont="1" applyFill="1" applyBorder="1" applyAlignment="1">
      <alignment horizontal="center" vertical="center" wrapText="1"/>
    </xf>
    <xf numFmtId="49" fontId="22" fillId="24" borderId="104" xfId="0" applyNumberFormat="1" applyFont="1" applyFill="1" applyBorder="1" applyAlignment="1">
      <alignment horizontal="left" vertical="center" wrapText="1"/>
    </xf>
    <xf numFmtId="49" fontId="22" fillId="24" borderId="75" xfId="0" applyNumberFormat="1" applyFont="1" applyFill="1" applyBorder="1" applyAlignment="1">
      <alignment horizontal="left" vertical="center" wrapText="1"/>
    </xf>
    <xf numFmtId="4" fontId="25" fillId="24" borderId="39" xfId="0" applyNumberFormat="1" applyFont="1" applyFill="1" applyBorder="1" applyAlignment="1">
      <alignment horizontal="center" vertical="center"/>
    </xf>
    <xf numFmtId="4" fontId="25" fillId="24" borderId="41" xfId="0" applyNumberFormat="1" applyFont="1" applyFill="1" applyBorder="1" applyAlignment="1">
      <alignment horizontal="center" vertical="center"/>
    </xf>
    <xf numFmtId="4" fontId="25" fillId="24" borderId="43" xfId="0" applyNumberFormat="1" applyFont="1" applyFill="1" applyBorder="1" applyAlignment="1">
      <alignment horizontal="center" vertical="center"/>
    </xf>
    <xf numFmtId="49" fontId="22" fillId="24" borderId="105" xfId="0" applyNumberFormat="1" applyFont="1" applyFill="1" applyBorder="1" applyAlignment="1">
      <alignment horizontal="center" vertical="center" wrapText="1"/>
    </xf>
    <xf numFmtId="49" fontId="22" fillId="24" borderId="92" xfId="0" applyNumberFormat="1" applyFont="1" applyFill="1" applyBorder="1" applyAlignment="1">
      <alignment horizontal="center" vertical="center" wrapText="1"/>
    </xf>
    <xf numFmtId="49" fontId="22" fillId="24" borderId="106" xfId="0" applyNumberFormat="1" applyFont="1" applyFill="1" applyBorder="1" applyAlignment="1">
      <alignment horizontal="center" vertical="center" wrapText="1"/>
    </xf>
    <xf numFmtId="4" fontId="26" fillId="27" borderId="105" xfId="0" applyNumberFormat="1" applyFont="1" applyFill="1" applyBorder="1" applyAlignment="1">
      <alignment horizontal="left" vertical="center" wrapText="1"/>
    </xf>
    <xf numFmtId="4" fontId="26" fillId="27" borderId="92" xfId="0" applyNumberFormat="1" applyFont="1" applyFill="1" applyBorder="1" applyAlignment="1">
      <alignment horizontal="left" vertical="center" wrapText="1"/>
    </xf>
    <xf numFmtId="4" fontId="26" fillId="27" borderId="106" xfId="0" applyNumberFormat="1" applyFont="1" applyFill="1" applyBorder="1" applyAlignment="1">
      <alignment horizontal="left" vertical="center" wrapText="1"/>
    </xf>
    <xf numFmtId="4" fontId="22" fillId="27" borderId="107" xfId="0" applyNumberFormat="1" applyFont="1" applyFill="1" applyBorder="1" applyAlignment="1">
      <alignment horizontal="left" vertical="center" wrapText="1"/>
    </xf>
    <xf numFmtId="4" fontId="22" fillId="27" borderId="91" xfId="0" applyNumberFormat="1" applyFont="1" applyFill="1" applyBorder="1" applyAlignment="1">
      <alignment horizontal="left" vertical="center" wrapText="1"/>
    </xf>
    <xf numFmtId="4" fontId="22" fillId="27" borderId="108" xfId="0" applyNumberFormat="1" applyFont="1" applyFill="1" applyBorder="1" applyAlignment="1">
      <alignment horizontal="left" vertical="center" wrapText="1"/>
    </xf>
    <xf numFmtId="4" fontId="22" fillId="26" borderId="39" xfId="0" applyNumberFormat="1" applyFont="1" applyFill="1" applyBorder="1" applyAlignment="1">
      <alignment horizontal="center" vertical="center"/>
    </xf>
    <xf numFmtId="4" fontId="22" fillId="26" borderId="41" xfId="0" applyNumberFormat="1" applyFont="1" applyFill="1" applyBorder="1" applyAlignment="1">
      <alignment horizontal="center" vertical="center"/>
    </xf>
    <xf numFmtId="4" fontId="22" fillId="26" borderId="43" xfId="0" applyNumberFormat="1" applyFont="1" applyFill="1" applyBorder="1" applyAlignment="1">
      <alignment horizontal="center" vertical="center"/>
    </xf>
    <xf numFmtId="49" fontId="22" fillId="25" borderId="105" xfId="0" applyNumberFormat="1" applyFont="1" applyFill="1" applyBorder="1" applyAlignment="1">
      <alignment horizontal="center" vertical="center" wrapText="1"/>
    </xf>
    <xf numFmtId="49" fontId="22" fillId="25" borderId="92" xfId="0" applyNumberFormat="1" applyFont="1" applyFill="1" applyBorder="1" applyAlignment="1">
      <alignment horizontal="center" vertical="center" wrapText="1"/>
    </xf>
    <xf numFmtId="49" fontId="22" fillId="25" borderId="106" xfId="0" applyNumberFormat="1" applyFont="1" applyFill="1" applyBorder="1" applyAlignment="1">
      <alignment horizontal="center" vertical="center" wrapText="1"/>
    </xf>
    <xf numFmtId="49" fontId="22" fillId="25" borderId="107" xfId="0" applyNumberFormat="1" applyFont="1" applyFill="1" applyBorder="1" applyAlignment="1">
      <alignment horizontal="left" vertical="center" wrapText="1"/>
    </xf>
    <xf numFmtId="49" fontId="22" fillId="25" borderId="91" xfId="0" applyNumberFormat="1" applyFont="1" applyFill="1" applyBorder="1" applyAlignment="1">
      <alignment horizontal="left" vertical="center" wrapText="1"/>
    </xf>
    <xf numFmtId="49" fontId="22" fillId="25" borderId="108" xfId="0" applyNumberFormat="1" applyFont="1" applyFill="1" applyBorder="1" applyAlignment="1">
      <alignment horizontal="left" vertical="center" wrapText="1"/>
    </xf>
    <xf numFmtId="4" fontId="29" fillId="25" borderId="39" xfId="0" applyNumberFormat="1" applyFont="1" applyFill="1" applyBorder="1" applyAlignment="1">
      <alignment horizontal="center" vertical="center"/>
    </xf>
    <xf numFmtId="4" fontId="29" fillId="25" borderId="41" xfId="0" applyNumberFormat="1" applyFont="1" applyFill="1" applyBorder="1" applyAlignment="1">
      <alignment horizontal="center" vertical="center"/>
    </xf>
    <xf numFmtId="4" fontId="29" fillId="25" borderId="43" xfId="0" applyNumberFormat="1" applyFont="1" applyFill="1" applyBorder="1" applyAlignment="1">
      <alignment horizontal="center" vertical="center"/>
    </xf>
    <xf numFmtId="4" fontId="26" fillId="24" borderId="105" xfId="0" applyNumberFormat="1" applyFont="1" applyFill="1" applyBorder="1" applyAlignment="1">
      <alignment horizontal="left" vertical="center" wrapText="1"/>
    </xf>
    <xf numFmtId="4" fontId="26" fillId="24" borderId="92" xfId="0" applyNumberFormat="1" applyFont="1" applyFill="1" applyBorder="1" applyAlignment="1">
      <alignment horizontal="left" vertical="center" wrapText="1"/>
    </xf>
    <xf numFmtId="4" fontId="26" fillId="24" borderId="106" xfId="0" applyNumberFormat="1" applyFont="1" applyFill="1" applyBorder="1" applyAlignment="1">
      <alignment horizontal="left" vertical="center" wrapText="1"/>
    </xf>
    <xf numFmtId="4" fontId="26" fillId="24" borderId="107" xfId="0" applyNumberFormat="1" applyFont="1" applyFill="1" applyBorder="1" applyAlignment="1">
      <alignment horizontal="left" vertical="center" wrapText="1"/>
    </xf>
    <xf numFmtId="4" fontId="26" fillId="24" borderId="91" xfId="0" applyNumberFormat="1" applyFont="1" applyFill="1" applyBorder="1" applyAlignment="1">
      <alignment horizontal="left" vertical="center" wrapText="1"/>
    </xf>
    <xf numFmtId="4" fontId="26" fillId="24" borderId="108" xfId="0" applyNumberFormat="1" applyFont="1" applyFill="1" applyBorder="1" applyAlignment="1">
      <alignment horizontal="left" vertical="center" wrapText="1"/>
    </xf>
    <xf numFmtId="4" fontId="30" fillId="24" borderId="91" xfId="0" applyNumberFormat="1" applyFont="1" applyFill="1" applyBorder="1" applyAlignment="1">
      <alignment horizontal="center" vertical="center"/>
    </xf>
    <xf numFmtId="4" fontId="30" fillId="24" borderId="108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49" fontId="22" fillId="24" borderId="109" xfId="0" applyNumberFormat="1" applyFont="1" applyFill="1" applyBorder="1" applyAlignment="1">
      <alignment horizontal="center" vertical="center" wrapText="1"/>
    </xf>
    <xf numFmtId="49" fontId="22" fillId="24" borderId="110" xfId="0" applyNumberFormat="1" applyFont="1" applyFill="1" applyBorder="1" applyAlignment="1">
      <alignment horizontal="center" vertical="center" wrapText="1"/>
    </xf>
    <xf numFmtId="49" fontId="22" fillId="24" borderId="94" xfId="0" applyNumberFormat="1" applyFont="1" applyFill="1" applyBorder="1" applyAlignment="1">
      <alignment horizontal="center" vertical="center" wrapText="1"/>
    </xf>
    <xf numFmtId="49" fontId="22" fillId="24" borderId="111" xfId="0" applyNumberFormat="1" applyFont="1" applyFill="1" applyBorder="1" applyAlignment="1">
      <alignment horizontal="left" vertical="center" wrapText="1"/>
    </xf>
    <xf numFmtId="49" fontId="22" fillId="24" borderId="112" xfId="0" applyNumberFormat="1" applyFont="1" applyFill="1" applyBorder="1" applyAlignment="1">
      <alignment horizontal="left" vertical="center" wrapText="1"/>
    </xf>
    <xf numFmtId="4" fontId="30" fillId="24" borderId="107" xfId="0" applyNumberFormat="1" applyFont="1" applyFill="1" applyBorder="1" applyAlignment="1">
      <alignment horizontal="center" vertical="center"/>
    </xf>
    <xf numFmtId="4" fontId="26" fillId="26" borderId="105" xfId="0" applyNumberFormat="1" applyFont="1" applyFill="1" applyBorder="1" applyAlignment="1">
      <alignment horizontal="left" vertical="center" wrapText="1"/>
    </xf>
    <xf numFmtId="4" fontId="26" fillId="26" borderId="92" xfId="0" applyNumberFormat="1" applyFont="1" applyFill="1" applyBorder="1" applyAlignment="1">
      <alignment horizontal="left" vertical="center" wrapText="1"/>
    </xf>
    <xf numFmtId="4" fontId="26" fillId="26" borderId="106" xfId="0" applyNumberFormat="1" applyFont="1" applyFill="1" applyBorder="1" applyAlignment="1">
      <alignment horizontal="left" vertical="center" wrapText="1"/>
    </xf>
    <xf numFmtId="4" fontId="22" fillId="26" borderId="107" xfId="0" applyNumberFormat="1" applyFont="1" applyFill="1" applyBorder="1" applyAlignment="1">
      <alignment horizontal="left" vertical="center" wrapText="1"/>
    </xf>
    <xf numFmtId="4" fontId="22" fillId="26" borderId="91" xfId="0" applyNumberFormat="1" applyFont="1" applyFill="1" applyBorder="1" applyAlignment="1">
      <alignment horizontal="left" vertical="center" wrapText="1"/>
    </xf>
    <xf numFmtId="4" fontId="22" fillId="26" borderId="108" xfId="0" applyNumberFormat="1" applyFont="1" applyFill="1" applyBorder="1" applyAlignment="1">
      <alignment horizontal="left" vertical="center" wrapText="1"/>
    </xf>
    <xf numFmtId="49" fontId="26" fillId="24" borderId="105" xfId="0" applyNumberFormat="1" applyFont="1" applyFill="1" applyBorder="1" applyAlignment="1">
      <alignment horizontal="center" vertical="center" wrapText="1"/>
    </xf>
    <xf numFmtId="49" fontId="26" fillId="24" borderId="92" xfId="0" applyNumberFormat="1" applyFont="1" applyFill="1" applyBorder="1" applyAlignment="1">
      <alignment horizontal="center" vertical="center" wrapText="1"/>
    </xf>
    <xf numFmtId="49" fontId="26" fillId="24" borderId="106" xfId="0" applyNumberFormat="1" applyFont="1" applyFill="1" applyBorder="1" applyAlignment="1">
      <alignment horizontal="center" vertical="center" wrapText="1"/>
    </xf>
    <xf numFmtId="49" fontId="26" fillId="24" borderId="107" xfId="0" applyNumberFormat="1" applyFont="1" applyFill="1" applyBorder="1" applyAlignment="1">
      <alignment horizontal="left" vertical="center" wrapText="1"/>
    </xf>
    <xf numFmtId="49" fontId="26" fillId="24" borderId="91" xfId="0" applyNumberFormat="1" applyFont="1" applyFill="1" applyBorder="1" applyAlignment="1">
      <alignment horizontal="left" vertical="center" wrapText="1"/>
    </xf>
    <xf numFmtId="49" fontId="26" fillId="24" borderId="108" xfId="0" applyNumberFormat="1" applyFont="1" applyFill="1" applyBorder="1" applyAlignment="1">
      <alignment horizontal="left" vertical="center" wrapText="1"/>
    </xf>
    <xf numFmtId="49" fontId="30" fillId="24" borderId="107" xfId="0" applyNumberFormat="1" applyFont="1" applyFill="1" applyBorder="1" applyAlignment="1">
      <alignment horizontal="center" vertical="center"/>
    </xf>
    <xf numFmtId="49" fontId="30" fillId="24" borderId="91" xfId="0" applyNumberFormat="1" applyFont="1" applyFill="1" applyBorder="1" applyAlignment="1">
      <alignment horizontal="center" vertical="center"/>
    </xf>
    <xf numFmtId="49" fontId="30" fillId="24" borderId="108" xfId="0" applyNumberFormat="1" applyFont="1" applyFill="1" applyBorder="1" applyAlignment="1">
      <alignment horizontal="center" vertical="center"/>
    </xf>
    <xf numFmtId="49" fontId="26" fillId="24" borderId="105" xfId="0" applyNumberFormat="1" applyFont="1" applyFill="1" applyBorder="1" applyAlignment="1">
      <alignment horizontal="left" vertical="center" wrapText="1"/>
    </xf>
    <xf numFmtId="49" fontId="26" fillId="24" borderId="92" xfId="0" applyNumberFormat="1" applyFont="1" applyFill="1" applyBorder="1" applyAlignment="1">
      <alignment horizontal="left" vertical="center" wrapText="1"/>
    </xf>
    <xf numFmtId="49" fontId="26" fillId="24" borderId="106" xfId="0" applyNumberFormat="1" applyFont="1" applyFill="1" applyBorder="1" applyAlignment="1">
      <alignment horizontal="left" vertical="center" wrapText="1"/>
    </xf>
    <xf numFmtId="4" fontId="28" fillId="24" borderId="61" xfId="0" applyNumberFormat="1" applyFont="1" applyFill="1" applyBorder="1" applyAlignment="1">
      <alignment horizontal="center" vertical="center" wrapText="1"/>
    </xf>
    <xf numFmtId="4" fontId="28" fillId="24" borderId="50" xfId="0" applyNumberFormat="1" applyFont="1" applyFill="1" applyBorder="1" applyAlignment="1">
      <alignment horizontal="center" vertical="center" wrapText="1"/>
    </xf>
    <xf numFmtId="4" fontId="28" fillId="24" borderId="30" xfId="0" applyNumberFormat="1" applyFont="1" applyFill="1" applyBorder="1" applyAlignment="1">
      <alignment horizontal="center" vertical="center" wrapText="1"/>
    </xf>
    <xf numFmtId="2" fontId="30" fillId="24" borderId="91" xfId="0" applyNumberFormat="1" applyFont="1" applyFill="1" applyBorder="1" applyAlignment="1">
      <alignment horizontal="center" vertical="center"/>
    </xf>
    <xf numFmtId="2" fontId="30" fillId="24" borderId="108" xfId="0" applyNumberFormat="1" applyFont="1" applyFill="1" applyBorder="1" applyAlignment="1">
      <alignment horizontal="center" vertical="center"/>
    </xf>
    <xf numFmtId="49" fontId="21" fillId="24" borderId="105" xfId="0" applyNumberFormat="1" applyFont="1" applyFill="1" applyBorder="1" applyAlignment="1">
      <alignment horizontal="center" vertical="center"/>
    </xf>
    <xf numFmtId="49" fontId="21" fillId="24" borderId="92" xfId="0" applyNumberFormat="1" applyFont="1" applyFill="1" applyBorder="1" applyAlignment="1">
      <alignment horizontal="center" vertical="center"/>
    </xf>
    <xf numFmtId="49" fontId="21" fillId="24" borderId="113" xfId="0" applyNumberFormat="1" applyFont="1" applyFill="1" applyBorder="1" applyAlignment="1">
      <alignment horizontal="center" vertical="center"/>
    </xf>
    <xf numFmtId="49" fontId="22" fillId="24" borderId="107" xfId="0" applyNumberFormat="1" applyFont="1" applyFill="1" applyBorder="1" applyAlignment="1">
      <alignment horizontal="left" vertical="center" wrapText="1"/>
    </xf>
    <xf numFmtId="49" fontId="22" fillId="24" borderId="91" xfId="0" applyNumberFormat="1" applyFont="1" applyFill="1" applyBorder="1" applyAlignment="1">
      <alignment horizontal="left" vertical="center" wrapText="1"/>
    </xf>
    <xf numFmtId="49" fontId="22" fillId="24" borderId="36" xfId="0" applyNumberFormat="1" applyFont="1" applyFill="1" applyBorder="1" applyAlignment="1">
      <alignment horizontal="left" vertical="center" wrapText="1"/>
    </xf>
    <xf numFmtId="49" fontId="29" fillId="24" borderId="91" xfId="0" applyNumberFormat="1" applyFont="1" applyFill="1" applyBorder="1" applyAlignment="1">
      <alignment horizontal="center" vertical="center"/>
    </xf>
    <xf numFmtId="49" fontId="29" fillId="24" borderId="36" xfId="0" applyNumberFormat="1" applyFont="1" applyFill="1" applyBorder="1" applyAlignment="1">
      <alignment horizontal="center" vertical="center"/>
    </xf>
    <xf numFmtId="49" fontId="19" fillId="24" borderId="114" xfId="0" applyNumberFormat="1" applyFont="1" applyFill="1" applyBorder="1" applyAlignment="1">
      <alignment horizontal="center" vertical="center"/>
    </xf>
    <xf numFmtId="49" fontId="19" fillId="24" borderId="31" xfId="0" applyNumberFormat="1" applyFont="1" applyFill="1" applyBorder="1" applyAlignment="1">
      <alignment horizontal="center" vertical="center"/>
    </xf>
    <xf numFmtId="49" fontId="19" fillId="24" borderId="115" xfId="0" applyNumberFormat="1" applyFont="1" applyFill="1" applyBorder="1" applyAlignment="1">
      <alignment horizontal="center" vertical="center"/>
    </xf>
    <xf numFmtId="49" fontId="27" fillId="24" borderId="105" xfId="0" applyNumberFormat="1" applyFont="1" applyFill="1" applyBorder="1" applyAlignment="1">
      <alignment horizontal="center" vertical="center"/>
    </xf>
    <xf numFmtId="49" fontId="27" fillId="24" borderId="92" xfId="0" applyNumberFormat="1" applyFont="1" applyFill="1" applyBorder="1" applyAlignment="1">
      <alignment horizontal="center" vertical="center"/>
    </xf>
    <xf numFmtId="49" fontId="27" fillId="24" borderId="106" xfId="0" applyNumberFormat="1" applyFont="1" applyFill="1" applyBorder="1" applyAlignment="1">
      <alignment horizontal="center" vertical="center"/>
    </xf>
    <xf numFmtId="49" fontId="28" fillId="24" borderId="107" xfId="0" applyNumberFormat="1" applyFont="1" applyFill="1" applyBorder="1" applyAlignment="1">
      <alignment horizontal="left" vertical="center" wrapText="1"/>
    </xf>
    <xf numFmtId="49" fontId="28" fillId="24" borderId="91" xfId="0" applyNumberFormat="1" applyFont="1" applyFill="1" applyBorder="1" applyAlignment="1">
      <alignment horizontal="left" vertical="center" wrapText="1"/>
    </xf>
    <xf numFmtId="49" fontId="28" fillId="24" borderId="108" xfId="0" applyNumberFormat="1" applyFont="1" applyFill="1" applyBorder="1" applyAlignment="1">
      <alignment horizontal="left" vertical="center" wrapText="1"/>
    </xf>
    <xf numFmtId="4" fontId="31" fillId="24" borderId="107" xfId="0" applyNumberFormat="1" applyFont="1" applyFill="1" applyBorder="1" applyAlignment="1">
      <alignment horizontal="center" vertical="center"/>
    </xf>
    <xf numFmtId="4" fontId="31" fillId="24" borderId="91" xfId="0" applyNumberFormat="1" applyFont="1" applyFill="1" applyBorder="1" applyAlignment="1">
      <alignment horizontal="center" vertical="center"/>
    </xf>
    <xf numFmtId="49" fontId="21" fillId="26" borderId="105" xfId="0" applyNumberFormat="1" applyFont="1" applyFill="1" applyBorder="1" applyAlignment="1">
      <alignment horizontal="center" vertical="center"/>
    </xf>
    <xf numFmtId="49" fontId="21" fillId="26" borderId="92" xfId="0" applyNumberFormat="1" applyFont="1" applyFill="1" applyBorder="1" applyAlignment="1">
      <alignment horizontal="center" vertical="center"/>
    </xf>
    <xf numFmtId="49" fontId="21" fillId="26" borderId="106" xfId="0" applyNumberFormat="1" applyFont="1" applyFill="1" applyBorder="1" applyAlignment="1">
      <alignment horizontal="center" vertical="center"/>
    </xf>
    <xf numFmtId="49" fontId="22" fillId="26" borderId="107" xfId="0" applyNumberFormat="1" applyFont="1" applyFill="1" applyBorder="1" applyAlignment="1">
      <alignment horizontal="center" vertical="center" wrapText="1"/>
    </xf>
    <xf numFmtId="49" fontId="22" fillId="26" borderId="91" xfId="0" applyNumberFormat="1" applyFont="1" applyFill="1" applyBorder="1" applyAlignment="1">
      <alignment horizontal="center" vertical="center" wrapText="1"/>
    </xf>
    <xf numFmtId="49" fontId="22" fillId="26" borderId="108" xfId="0" applyNumberFormat="1" applyFont="1" applyFill="1" applyBorder="1" applyAlignment="1">
      <alignment horizontal="center" vertical="center" wrapText="1"/>
    </xf>
    <xf numFmtId="4" fontId="29" fillId="26" borderId="39" xfId="0" applyNumberFormat="1" applyFont="1" applyFill="1" applyBorder="1" applyAlignment="1">
      <alignment horizontal="center" vertical="center"/>
    </xf>
    <xf numFmtId="4" fontId="29" fillId="26" borderId="41" xfId="0" applyNumberFormat="1" applyFont="1" applyFill="1" applyBorder="1" applyAlignment="1">
      <alignment horizontal="center" vertical="center"/>
    </xf>
    <xf numFmtId="4" fontId="29" fillId="26" borderId="43" xfId="0" applyNumberFormat="1" applyFont="1" applyFill="1" applyBorder="1" applyAlignment="1">
      <alignment horizontal="center" vertical="center"/>
    </xf>
    <xf numFmtId="4" fontId="31" fillId="24" borderId="107" xfId="0" applyNumberFormat="1" applyFont="1" applyFill="1" applyBorder="1" applyAlignment="1">
      <alignment horizontal="center" vertical="center" wrapText="1"/>
    </xf>
    <xf numFmtId="4" fontId="31" fillId="24" borderId="91" xfId="0" applyNumberFormat="1" applyFont="1" applyFill="1" applyBorder="1" applyAlignment="1">
      <alignment horizontal="center" vertical="center" wrapText="1"/>
    </xf>
    <xf numFmtId="4" fontId="31" fillId="24" borderId="108" xfId="0" applyNumberFormat="1" applyFont="1" applyFill="1" applyBorder="1" applyAlignment="1">
      <alignment horizontal="center" vertical="center" wrapText="1"/>
    </xf>
    <xf numFmtId="4" fontId="31" fillId="24" borderId="108" xfId="0" applyNumberFormat="1" applyFont="1" applyFill="1" applyBorder="1" applyAlignment="1">
      <alignment horizontal="center" vertical="center"/>
    </xf>
    <xf numFmtId="49" fontId="19" fillId="24" borderId="116" xfId="0" applyNumberFormat="1" applyFont="1" applyFill="1" applyBorder="1" applyAlignment="1">
      <alignment horizontal="center" vertical="center"/>
    </xf>
    <xf numFmtId="49" fontId="19" fillId="24" borderId="117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/>
    </xf>
    <xf numFmtId="49" fontId="19" fillId="24" borderId="118" xfId="0" applyNumberFormat="1" applyFont="1" applyFill="1" applyBorder="1" applyAlignment="1">
      <alignment horizontal="center" vertical="center"/>
    </xf>
    <xf numFmtId="4" fontId="25" fillId="25" borderId="39" xfId="0" applyNumberFormat="1" applyFont="1" applyFill="1" applyBorder="1" applyAlignment="1">
      <alignment horizontal="center" vertical="center"/>
    </xf>
    <xf numFmtId="4" fontId="25" fillId="25" borderId="41" xfId="0" applyNumberFormat="1" applyFont="1" applyFill="1" applyBorder="1" applyAlignment="1">
      <alignment horizontal="center" vertical="center"/>
    </xf>
    <xf numFmtId="4" fontId="25" fillId="25" borderId="43" xfId="0" applyNumberFormat="1" applyFont="1" applyFill="1" applyBorder="1" applyAlignment="1">
      <alignment horizontal="center" vertical="center"/>
    </xf>
    <xf numFmtId="49" fontId="22" fillId="24" borderId="108" xfId="0" applyNumberFormat="1" applyFont="1" applyFill="1" applyBorder="1" applyAlignment="1">
      <alignment horizontal="left" vertical="center" wrapText="1"/>
    </xf>
    <xf numFmtId="49" fontId="22" fillId="24" borderId="119" xfId="0" applyNumberFormat="1" applyFont="1" applyFill="1" applyBorder="1" applyAlignment="1">
      <alignment horizontal="left" vertical="center" wrapText="1"/>
    </xf>
    <xf numFmtId="49" fontId="22" fillId="24" borderId="120" xfId="0" applyNumberFormat="1" applyFont="1" applyFill="1" applyBorder="1" applyAlignment="1">
      <alignment horizontal="left" vertical="center" wrapText="1"/>
    </xf>
    <xf numFmtId="49" fontId="22" fillId="24" borderId="121" xfId="0" applyNumberFormat="1" applyFont="1" applyFill="1" applyBorder="1" applyAlignment="1">
      <alignment horizontal="left" vertical="center" wrapText="1"/>
    </xf>
    <xf numFmtId="4" fontId="25" fillId="25" borderId="91" xfId="0" applyNumberFormat="1" applyFont="1" applyFill="1" applyBorder="1" applyAlignment="1">
      <alignment horizontal="center" vertical="center"/>
    </xf>
    <xf numFmtId="49" fontId="28" fillId="24" borderId="107" xfId="0" applyNumberFormat="1" applyFont="1" applyFill="1" applyBorder="1" applyAlignment="1">
      <alignment horizontal="left" vertical="center"/>
    </xf>
    <xf numFmtId="49" fontId="28" fillId="24" borderId="91" xfId="0" applyNumberFormat="1" applyFont="1" applyFill="1" applyBorder="1" applyAlignment="1">
      <alignment horizontal="left" vertical="center"/>
    </xf>
    <xf numFmtId="49" fontId="28" fillId="24" borderId="108" xfId="0" applyNumberFormat="1" applyFont="1" applyFill="1" applyBorder="1" applyAlignment="1">
      <alignment horizontal="left" vertical="center"/>
    </xf>
    <xf numFmtId="4" fontId="28" fillId="24" borderId="91" xfId="0" applyNumberFormat="1" applyFont="1" applyFill="1" applyBorder="1" applyAlignment="1">
      <alignment horizontal="center" vertical="center"/>
    </xf>
    <xf numFmtId="4" fontId="28" fillId="24" borderId="108" xfId="0" applyNumberFormat="1" applyFont="1" applyFill="1" applyBorder="1" applyAlignment="1">
      <alignment horizontal="center" vertical="center"/>
    </xf>
    <xf numFmtId="4" fontId="28" fillId="24" borderId="107" xfId="0" applyNumberFormat="1" applyFont="1" applyFill="1" applyBorder="1" applyAlignment="1">
      <alignment horizontal="center" vertical="center"/>
    </xf>
    <xf numFmtId="49" fontId="22" fillId="25" borderId="122" xfId="0" applyNumberFormat="1" applyFont="1" applyFill="1" applyBorder="1" applyAlignment="1">
      <alignment horizontal="left" vertical="center" wrapText="1"/>
    </xf>
    <xf numFmtId="49" fontId="22" fillId="25" borderId="12" xfId="0" applyNumberFormat="1" applyFont="1" applyFill="1" applyBorder="1" applyAlignment="1">
      <alignment horizontal="left" vertical="center" wrapText="1"/>
    </xf>
    <xf numFmtId="49" fontId="22" fillId="25" borderId="123" xfId="0" applyNumberFormat="1" applyFont="1" applyFill="1" applyBorder="1" applyAlignment="1">
      <alignment horizontal="left" vertical="center" wrapText="1"/>
    </xf>
    <xf numFmtId="4" fontId="28" fillId="24" borderId="39" xfId="0" applyNumberFormat="1" applyFont="1" applyFill="1" applyBorder="1" applyAlignment="1">
      <alignment horizontal="center" vertical="center"/>
    </xf>
    <xf numFmtId="4" fontId="28" fillId="24" borderId="41" xfId="0" applyNumberFormat="1" applyFont="1" applyFill="1" applyBorder="1" applyAlignment="1">
      <alignment horizontal="center" vertical="center"/>
    </xf>
    <xf numFmtId="4" fontId="28" fillId="24" borderId="43" xfId="0" applyNumberFormat="1" applyFont="1" applyFill="1" applyBorder="1" applyAlignment="1">
      <alignment horizontal="center" vertical="center"/>
    </xf>
    <xf numFmtId="4" fontId="22" fillId="24" borderId="61" xfId="0" applyNumberFormat="1" applyFont="1" applyFill="1" applyBorder="1" applyAlignment="1">
      <alignment horizontal="center" vertical="center" wrapText="1"/>
    </xf>
    <xf numFmtId="4" fontId="22" fillId="24" borderId="50" xfId="0" applyNumberFormat="1" applyFont="1" applyFill="1" applyBorder="1" applyAlignment="1">
      <alignment horizontal="center" vertical="center" wrapText="1"/>
    </xf>
    <xf numFmtId="4" fontId="22" fillId="24" borderId="30" xfId="0" applyNumberFormat="1" applyFont="1" applyFill="1" applyBorder="1" applyAlignment="1">
      <alignment horizontal="center" vertical="center" wrapText="1"/>
    </xf>
    <xf numFmtId="0" fontId="23" fillId="24" borderId="124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0" fontId="26" fillId="0" borderId="12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21" fillId="24" borderId="126" xfId="0" applyFont="1" applyFill="1" applyBorder="1" applyAlignment="1">
      <alignment horizontal="center" vertical="center" wrapText="1"/>
    </xf>
    <xf numFmtId="0" fontId="21" fillId="24" borderId="113" xfId="0" applyFont="1" applyFill="1" applyBorder="1" applyAlignment="1">
      <alignment horizontal="center" vertical="center" wrapText="1"/>
    </xf>
    <xf numFmtId="0" fontId="22" fillId="24" borderId="127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  <xf numFmtId="0" fontId="23" fillId="24" borderId="6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0"/>
  <sheetViews>
    <sheetView tabSelected="1" view="pageBreakPreview" zoomScaleNormal="86" zoomScaleSheetLayoutView="100" zoomScalePageLayoutView="0" workbookViewId="0" topLeftCell="H1">
      <selection activeCell="F15" sqref="F15"/>
    </sheetView>
  </sheetViews>
  <sheetFormatPr defaultColWidth="11.57421875" defaultRowHeight="12.75"/>
  <cols>
    <col min="1" max="1" width="6.8515625" style="0" customWidth="1"/>
    <col min="2" max="2" width="80.7109375" style="0" customWidth="1"/>
    <col min="3" max="3" width="30.00390625" style="0" customWidth="1"/>
    <col min="4" max="4" width="18.00390625" style="0" customWidth="1"/>
    <col min="5" max="5" width="13.57421875" style="0" hidden="1" customWidth="1"/>
    <col min="6" max="6" width="15.421875" style="0" customWidth="1"/>
    <col min="7" max="7" width="17.28125" style="0" customWidth="1"/>
    <col min="8" max="8" width="15.28125" style="0" customWidth="1"/>
    <col min="9" max="9" width="16.8515625" style="0" customWidth="1"/>
    <col min="10" max="10" width="17.7109375" style="0" customWidth="1"/>
    <col min="11" max="11" width="16.28125" style="0" customWidth="1"/>
    <col min="12" max="12" width="10.57421875" style="0" customWidth="1"/>
    <col min="13" max="13" width="11.28125" style="0" customWidth="1"/>
    <col min="14" max="14" width="12.28125" style="0" bestFit="1" customWidth="1"/>
    <col min="15" max="15" width="12.7109375" style="0" bestFit="1" customWidth="1"/>
  </cols>
  <sheetData>
    <row r="1" spans="12:13" ht="12.75">
      <c r="L1" s="16" t="s">
        <v>131</v>
      </c>
      <c r="M1" s="16"/>
    </row>
    <row r="2" spans="3:13" ht="12.75">
      <c r="C2" s="19"/>
      <c r="G2" s="19"/>
      <c r="L2" s="16" t="s">
        <v>130</v>
      </c>
      <c r="M2" s="16"/>
    </row>
    <row r="3" spans="1:13" ht="12.75">
      <c r="A3" s="60"/>
      <c r="B3" s="60"/>
      <c r="C3" s="60"/>
      <c r="D3" s="60"/>
      <c r="E3" s="60"/>
      <c r="F3" s="60"/>
      <c r="G3" s="60"/>
      <c r="H3" s="60"/>
      <c r="I3" s="61"/>
      <c r="J3" s="60"/>
      <c r="K3" s="60"/>
      <c r="L3" s="17" t="s">
        <v>164</v>
      </c>
      <c r="M3" s="16"/>
    </row>
    <row r="4" spans="1:13" ht="12.75">
      <c r="A4" s="60"/>
      <c r="B4" s="60"/>
      <c r="C4" s="60"/>
      <c r="D4" s="60"/>
      <c r="E4" s="60"/>
      <c r="F4" s="60"/>
      <c r="G4" s="60"/>
      <c r="H4" s="60"/>
      <c r="I4" s="61"/>
      <c r="J4" s="60"/>
      <c r="K4" s="60"/>
      <c r="L4" s="17"/>
      <c r="M4" s="16"/>
    </row>
    <row r="5" spans="1:13" ht="15.75">
      <c r="A5" s="62"/>
      <c r="B5" s="515" t="s">
        <v>0</v>
      </c>
      <c r="C5" s="515"/>
      <c r="D5" s="515"/>
      <c r="E5" s="515"/>
      <c r="F5" s="515"/>
      <c r="G5" s="515"/>
      <c r="H5" s="515"/>
      <c r="I5" s="515"/>
      <c r="J5" s="62"/>
      <c r="K5" s="62"/>
      <c r="L5" s="18"/>
      <c r="M5" s="34"/>
    </row>
    <row r="6" spans="1:13" ht="15.75" customHeight="1">
      <c r="A6" s="63"/>
      <c r="B6" s="516" t="s">
        <v>1</v>
      </c>
      <c r="C6" s="516"/>
      <c r="D6" s="516"/>
      <c r="E6" s="516"/>
      <c r="F6" s="516"/>
      <c r="G6" s="516"/>
      <c r="H6" s="516"/>
      <c r="I6" s="516"/>
      <c r="J6" s="63"/>
      <c r="K6" s="63"/>
      <c r="L6" s="18"/>
      <c r="M6" s="18"/>
    </row>
    <row r="7" spans="1:13" ht="15.75" customHeight="1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2"/>
      <c r="M7" s="18"/>
    </row>
    <row r="8" spans="1:14" s="4" customFormat="1" ht="12.75" customHeight="1">
      <c r="A8" s="517" t="s">
        <v>2</v>
      </c>
      <c r="B8" s="519" t="s">
        <v>3</v>
      </c>
      <c r="C8" s="519" t="s">
        <v>4</v>
      </c>
      <c r="D8" s="519" t="s">
        <v>117</v>
      </c>
      <c r="E8" s="519" t="s">
        <v>91</v>
      </c>
      <c r="F8" s="521" t="s">
        <v>5</v>
      </c>
      <c r="G8" s="522"/>
      <c r="H8" s="522"/>
      <c r="I8" s="522"/>
      <c r="J8" s="523"/>
      <c r="K8" s="510" t="s">
        <v>64</v>
      </c>
      <c r="L8" s="59" t="s">
        <v>6</v>
      </c>
      <c r="M8" s="35"/>
      <c r="N8" s="3"/>
    </row>
    <row r="9" spans="1:14" s="4" customFormat="1" ht="12" customHeight="1">
      <c r="A9" s="518"/>
      <c r="B9" s="520"/>
      <c r="C9" s="520"/>
      <c r="D9" s="520"/>
      <c r="E9" s="520"/>
      <c r="F9" s="64">
        <v>2011</v>
      </c>
      <c r="G9" s="64">
        <v>2012</v>
      </c>
      <c r="H9" s="64">
        <v>2013</v>
      </c>
      <c r="I9" s="64">
        <v>2014</v>
      </c>
      <c r="J9" s="64">
        <v>2015</v>
      </c>
      <c r="K9" s="511"/>
      <c r="L9" s="58"/>
      <c r="M9" s="35"/>
      <c r="N9" s="3"/>
    </row>
    <row r="10" spans="1:14" s="4" customFormat="1" ht="16.5" customHeight="1" thickBot="1">
      <c r="A10" s="382" t="s">
        <v>7</v>
      </c>
      <c r="B10" s="383"/>
      <c r="C10" s="383"/>
      <c r="D10" s="384"/>
      <c r="E10" s="383"/>
      <c r="F10" s="383"/>
      <c r="G10" s="384"/>
      <c r="H10" s="383"/>
      <c r="I10" s="384"/>
      <c r="J10" s="385"/>
      <c r="K10" s="65"/>
      <c r="L10" s="512" t="s">
        <v>159</v>
      </c>
      <c r="M10" s="36"/>
      <c r="N10" s="3"/>
    </row>
    <row r="11" spans="1:14" ht="13.5" customHeight="1">
      <c r="A11" s="404">
        <v>1</v>
      </c>
      <c r="B11" s="407" t="s">
        <v>47</v>
      </c>
      <c r="C11" s="66" t="s">
        <v>8</v>
      </c>
      <c r="D11" s="487">
        <f>D14+D17</f>
        <v>156474400</v>
      </c>
      <c r="E11" s="67">
        <f aca="true" t="shared" si="0" ref="E11:E64">SUM(F11:J11)</f>
        <v>795800</v>
      </c>
      <c r="F11" s="68">
        <f>F14+F17</f>
        <v>0</v>
      </c>
      <c r="G11" s="69">
        <f>G14+G17</f>
        <v>0</v>
      </c>
      <c r="H11" s="70">
        <f>H14+H17</f>
        <v>0</v>
      </c>
      <c r="I11" s="69">
        <f>I14+I17</f>
        <v>0</v>
      </c>
      <c r="J11" s="70">
        <f>J14+J17</f>
        <v>795800</v>
      </c>
      <c r="K11" s="71"/>
      <c r="L11" s="513"/>
      <c r="M11" s="37"/>
      <c r="N11" s="1"/>
    </row>
    <row r="12" spans="1:14" ht="13.5" customHeight="1">
      <c r="A12" s="405"/>
      <c r="B12" s="408"/>
      <c r="C12" s="72" t="s">
        <v>9</v>
      </c>
      <c r="D12" s="488"/>
      <c r="E12" s="73">
        <f t="shared" si="0"/>
        <v>1193700</v>
      </c>
      <c r="F12" s="74">
        <v>0</v>
      </c>
      <c r="G12" s="75">
        <f aca="true" t="shared" si="1" ref="G12:J13">G15+G18</f>
        <v>0</v>
      </c>
      <c r="H12" s="76">
        <f t="shared" si="1"/>
        <v>0</v>
      </c>
      <c r="I12" s="75">
        <f t="shared" si="1"/>
        <v>0</v>
      </c>
      <c r="J12" s="76">
        <f t="shared" si="1"/>
        <v>1193700</v>
      </c>
      <c r="K12" s="77"/>
      <c r="L12" s="513"/>
      <c r="M12" s="37"/>
      <c r="N12" s="1"/>
    </row>
    <row r="13" spans="1:14" ht="15" customHeight="1" thickBot="1">
      <c r="A13" s="406"/>
      <c r="B13" s="409"/>
      <c r="C13" s="78" t="s">
        <v>10</v>
      </c>
      <c r="D13" s="489"/>
      <c r="E13" s="79">
        <f>SUM(F13:J13)-F13</f>
        <v>7504000</v>
      </c>
      <c r="F13" s="74">
        <f>F16+F19</f>
        <v>3752000</v>
      </c>
      <c r="G13" s="80">
        <f>G16+G19</f>
        <v>3752000</v>
      </c>
      <c r="H13" s="81">
        <f t="shared" si="1"/>
        <v>3752000</v>
      </c>
      <c r="I13" s="80">
        <f t="shared" si="1"/>
        <v>0</v>
      </c>
      <c r="J13" s="81">
        <f t="shared" si="1"/>
        <v>0</v>
      </c>
      <c r="K13" s="82"/>
      <c r="L13" s="513"/>
      <c r="M13" s="37"/>
      <c r="N13" s="1"/>
    </row>
    <row r="14" spans="1:14" ht="13.5" customHeight="1">
      <c r="A14" s="462"/>
      <c r="B14" s="495" t="s">
        <v>11</v>
      </c>
      <c r="C14" s="83" t="s">
        <v>8</v>
      </c>
      <c r="D14" s="504">
        <v>3752000</v>
      </c>
      <c r="E14" s="84">
        <f t="shared" si="0"/>
        <v>795800</v>
      </c>
      <c r="F14" s="85">
        <v>0</v>
      </c>
      <c r="G14" s="86">
        <v>0</v>
      </c>
      <c r="H14" s="87">
        <v>0</v>
      </c>
      <c r="I14" s="86">
        <v>0</v>
      </c>
      <c r="J14" s="88">
        <v>795800</v>
      </c>
      <c r="K14" s="89"/>
      <c r="L14" s="513"/>
      <c r="M14" s="37"/>
      <c r="N14" s="1"/>
    </row>
    <row r="15" spans="1:14" ht="12.75">
      <c r="A15" s="463"/>
      <c r="B15" s="496"/>
      <c r="C15" s="90" t="s">
        <v>9</v>
      </c>
      <c r="D15" s="505"/>
      <c r="E15" s="91">
        <f t="shared" si="0"/>
        <v>1193700</v>
      </c>
      <c r="F15" s="92">
        <v>0</v>
      </c>
      <c r="G15" s="93">
        <v>0</v>
      </c>
      <c r="H15" s="94">
        <v>0</v>
      </c>
      <c r="I15" s="93">
        <v>0</v>
      </c>
      <c r="J15" s="95">
        <v>1193700</v>
      </c>
      <c r="K15" s="96"/>
      <c r="L15" s="513"/>
      <c r="M15" s="37"/>
      <c r="N15" s="1"/>
    </row>
    <row r="16" spans="1:14" ht="13.5" thickBot="1">
      <c r="A16" s="464"/>
      <c r="B16" s="497"/>
      <c r="C16" s="90" t="s">
        <v>10</v>
      </c>
      <c r="D16" s="506"/>
      <c r="E16" s="97">
        <f>SUM(F16:J16)-F16</f>
        <v>7504000</v>
      </c>
      <c r="F16" s="98">
        <v>3752000</v>
      </c>
      <c r="G16" s="99">
        <v>3752000</v>
      </c>
      <c r="H16" s="100">
        <v>3752000</v>
      </c>
      <c r="I16" s="99">
        <v>0</v>
      </c>
      <c r="J16" s="101">
        <v>0</v>
      </c>
      <c r="K16" s="102"/>
      <c r="L16" s="513"/>
      <c r="M16" s="37"/>
      <c r="N16" s="1"/>
    </row>
    <row r="17" spans="1:14" ht="12.75" customHeight="1">
      <c r="A17" s="462"/>
      <c r="B17" s="495" t="s">
        <v>12</v>
      </c>
      <c r="C17" s="83" t="s">
        <v>8</v>
      </c>
      <c r="D17" s="504">
        <v>152722400</v>
      </c>
      <c r="E17" s="84">
        <f t="shared" si="0"/>
        <v>0</v>
      </c>
      <c r="F17" s="103">
        <v>0</v>
      </c>
      <c r="G17" s="104">
        <v>0</v>
      </c>
      <c r="H17" s="105"/>
      <c r="I17" s="86">
        <v>0</v>
      </c>
      <c r="J17" s="87">
        <v>0</v>
      </c>
      <c r="K17" s="373" t="s">
        <v>153</v>
      </c>
      <c r="L17" s="513"/>
      <c r="M17" s="37"/>
      <c r="N17" s="1"/>
    </row>
    <row r="18" spans="1:14" ht="14.25" customHeight="1">
      <c r="A18" s="463"/>
      <c r="B18" s="496"/>
      <c r="C18" s="90" t="s">
        <v>9</v>
      </c>
      <c r="D18" s="505"/>
      <c r="E18" s="91">
        <f t="shared" si="0"/>
        <v>0</v>
      </c>
      <c r="F18" s="92">
        <v>0</v>
      </c>
      <c r="G18" s="93">
        <v>0</v>
      </c>
      <c r="H18" s="94">
        <v>0</v>
      </c>
      <c r="I18" s="93">
        <v>0</v>
      </c>
      <c r="J18" s="106">
        <v>0</v>
      </c>
      <c r="K18" s="374"/>
      <c r="L18" s="513"/>
      <c r="M18" s="37"/>
      <c r="N18" s="1"/>
    </row>
    <row r="19" spans="1:15" ht="11.25" customHeight="1" thickBot="1">
      <c r="A19" s="464"/>
      <c r="B19" s="497"/>
      <c r="C19" s="90" t="s">
        <v>10</v>
      </c>
      <c r="D19" s="506"/>
      <c r="E19" s="97">
        <f t="shared" si="0"/>
        <v>0</v>
      </c>
      <c r="F19" s="107">
        <v>0</v>
      </c>
      <c r="G19" s="108">
        <v>0</v>
      </c>
      <c r="H19" s="109">
        <v>0</v>
      </c>
      <c r="I19" s="108">
        <v>0</v>
      </c>
      <c r="J19" s="109">
        <v>0</v>
      </c>
      <c r="K19" s="375"/>
      <c r="L19" s="513"/>
      <c r="M19" s="37"/>
      <c r="N19" s="1"/>
      <c r="O19" s="19"/>
    </row>
    <row r="20" spans="1:14" ht="13.5" customHeight="1">
      <c r="A20" s="404">
        <v>2</v>
      </c>
      <c r="B20" s="407" t="s">
        <v>48</v>
      </c>
      <c r="C20" s="66" t="s">
        <v>8</v>
      </c>
      <c r="D20" s="487">
        <f>D23+D26</f>
        <v>149856737.38</v>
      </c>
      <c r="E20" s="67">
        <f t="shared" si="0"/>
        <v>1856737.38</v>
      </c>
      <c r="F20" s="68">
        <f>F23+F26</f>
        <v>0</v>
      </c>
      <c r="G20" s="69">
        <f>G23+G26</f>
        <v>0</v>
      </c>
      <c r="H20" s="70">
        <f>H23+H26</f>
        <v>0</v>
      </c>
      <c r="I20" s="110">
        <f>I23+I26</f>
        <v>740211.6799999999</v>
      </c>
      <c r="J20" s="70">
        <f>J23+J26</f>
        <v>1116525.7</v>
      </c>
      <c r="K20" s="71"/>
      <c r="L20" s="513"/>
      <c r="M20" s="37"/>
      <c r="N20" s="1"/>
    </row>
    <row r="21" spans="1:14" ht="13.5" customHeight="1">
      <c r="A21" s="405"/>
      <c r="B21" s="408"/>
      <c r="C21" s="72" t="s">
        <v>9</v>
      </c>
      <c r="D21" s="488"/>
      <c r="E21" s="73">
        <f t="shared" si="0"/>
        <v>0</v>
      </c>
      <c r="F21" s="74">
        <v>0</v>
      </c>
      <c r="G21" s="75">
        <f aca="true" t="shared" si="2" ref="G21:J22">G24+G27</f>
        <v>0</v>
      </c>
      <c r="H21" s="76">
        <f t="shared" si="2"/>
        <v>0</v>
      </c>
      <c r="I21" s="111">
        <f t="shared" si="2"/>
        <v>0</v>
      </c>
      <c r="J21" s="76">
        <f t="shared" si="2"/>
        <v>0</v>
      </c>
      <c r="K21" s="77"/>
      <c r="L21" s="513"/>
      <c r="M21" s="37"/>
      <c r="N21" s="1"/>
    </row>
    <row r="22" spans="1:14" ht="15.75" customHeight="1" thickBot="1">
      <c r="A22" s="406"/>
      <c r="B22" s="409"/>
      <c r="C22" s="78" t="s">
        <v>10</v>
      </c>
      <c r="D22" s="489"/>
      <c r="E22" s="79">
        <f t="shared" si="0"/>
        <v>0</v>
      </c>
      <c r="F22" s="74">
        <f>F25+F28</f>
        <v>0</v>
      </c>
      <c r="G22" s="80">
        <f t="shared" si="2"/>
        <v>0</v>
      </c>
      <c r="H22" s="81">
        <f t="shared" si="2"/>
        <v>0</v>
      </c>
      <c r="I22" s="80">
        <f t="shared" si="2"/>
        <v>0</v>
      </c>
      <c r="J22" s="81">
        <f t="shared" si="2"/>
        <v>0</v>
      </c>
      <c r="K22" s="82"/>
      <c r="L22" s="513"/>
      <c r="M22" s="37"/>
      <c r="N22" s="1"/>
    </row>
    <row r="23" spans="1:14" ht="12.75">
      <c r="A23" s="462"/>
      <c r="B23" s="495" t="s">
        <v>146</v>
      </c>
      <c r="C23" s="83" t="s">
        <v>8</v>
      </c>
      <c r="D23" s="504">
        <f>E23+E24+E25</f>
        <v>1856737.38</v>
      </c>
      <c r="E23" s="84">
        <f t="shared" si="0"/>
        <v>1856737.38</v>
      </c>
      <c r="F23" s="103">
        <v>0</v>
      </c>
      <c r="G23" s="104">
        <v>0</v>
      </c>
      <c r="H23" s="105">
        <v>0</v>
      </c>
      <c r="I23" s="86">
        <f>416652.98+660000-300000-36441.3</f>
        <v>740211.6799999999</v>
      </c>
      <c r="J23" s="87">
        <v>1116525.7</v>
      </c>
      <c r="K23" s="112"/>
      <c r="L23" s="513"/>
      <c r="M23" s="37"/>
      <c r="N23" s="1"/>
    </row>
    <row r="24" spans="1:14" ht="12.75">
      <c r="A24" s="463"/>
      <c r="B24" s="496"/>
      <c r="C24" s="90" t="s">
        <v>9</v>
      </c>
      <c r="D24" s="505"/>
      <c r="E24" s="91">
        <f t="shared" si="0"/>
        <v>0</v>
      </c>
      <c r="F24" s="92">
        <v>0</v>
      </c>
      <c r="G24" s="93">
        <v>0</v>
      </c>
      <c r="H24" s="94">
        <v>0</v>
      </c>
      <c r="I24" s="93">
        <v>0</v>
      </c>
      <c r="J24" s="106">
        <v>0</v>
      </c>
      <c r="K24" s="96"/>
      <c r="L24" s="513"/>
      <c r="M24" s="37"/>
      <c r="N24" s="1"/>
    </row>
    <row r="25" spans="1:14" ht="13.5" customHeight="1" thickBot="1">
      <c r="A25" s="464"/>
      <c r="B25" s="497"/>
      <c r="C25" s="90" t="s">
        <v>10</v>
      </c>
      <c r="D25" s="506"/>
      <c r="E25" s="97">
        <f t="shared" si="0"/>
        <v>0</v>
      </c>
      <c r="F25" s="107">
        <v>0</v>
      </c>
      <c r="G25" s="108">
        <v>0</v>
      </c>
      <c r="H25" s="109">
        <v>0</v>
      </c>
      <c r="I25" s="108">
        <v>0</v>
      </c>
      <c r="J25" s="109">
        <v>0</v>
      </c>
      <c r="K25" s="102"/>
      <c r="L25" s="513"/>
      <c r="M25" s="37"/>
      <c r="N25" s="1"/>
    </row>
    <row r="26" spans="1:14" ht="13.5" customHeight="1">
      <c r="A26" s="462"/>
      <c r="B26" s="465" t="s">
        <v>30</v>
      </c>
      <c r="C26" s="83" t="s">
        <v>8</v>
      </c>
      <c r="D26" s="504">
        <v>148000000</v>
      </c>
      <c r="E26" s="84">
        <f t="shared" si="0"/>
        <v>0</v>
      </c>
      <c r="F26" s="103">
        <v>0</v>
      </c>
      <c r="G26" s="104">
        <v>0</v>
      </c>
      <c r="H26" s="105">
        <v>0</v>
      </c>
      <c r="I26" s="86">
        <v>0</v>
      </c>
      <c r="J26" s="87">
        <v>0</v>
      </c>
      <c r="K26" s="373" t="s">
        <v>153</v>
      </c>
      <c r="L26" s="513"/>
      <c r="M26" s="37"/>
      <c r="N26" s="1"/>
    </row>
    <row r="27" spans="1:14" ht="12.75">
      <c r="A27" s="463"/>
      <c r="B27" s="466"/>
      <c r="C27" s="90" t="s">
        <v>9</v>
      </c>
      <c r="D27" s="505"/>
      <c r="E27" s="91">
        <f t="shared" si="0"/>
        <v>0</v>
      </c>
      <c r="F27" s="92">
        <v>0</v>
      </c>
      <c r="G27" s="93">
        <v>0</v>
      </c>
      <c r="H27" s="94">
        <v>0</v>
      </c>
      <c r="I27" s="113">
        <v>0</v>
      </c>
      <c r="J27" s="106">
        <v>0</v>
      </c>
      <c r="K27" s="374"/>
      <c r="L27" s="513"/>
      <c r="M27" s="37"/>
      <c r="N27" s="1"/>
    </row>
    <row r="28" spans="1:14" ht="11.25" customHeight="1" thickBot="1">
      <c r="A28" s="464"/>
      <c r="B28" s="467"/>
      <c r="C28" s="90" t="s">
        <v>10</v>
      </c>
      <c r="D28" s="506"/>
      <c r="E28" s="97">
        <f t="shared" si="0"/>
        <v>0</v>
      </c>
      <c r="F28" s="107">
        <v>0</v>
      </c>
      <c r="G28" s="108">
        <v>0</v>
      </c>
      <c r="H28" s="109">
        <v>0</v>
      </c>
      <c r="I28" s="108">
        <v>0</v>
      </c>
      <c r="J28" s="109">
        <v>0</v>
      </c>
      <c r="K28" s="375"/>
      <c r="L28" s="513"/>
      <c r="M28" s="37"/>
      <c r="N28" s="1"/>
    </row>
    <row r="29" spans="1:14" s="4" customFormat="1" ht="12.75" customHeight="1">
      <c r="A29" s="404">
        <v>3</v>
      </c>
      <c r="B29" s="407" t="s">
        <v>13</v>
      </c>
      <c r="C29" s="66" t="s">
        <v>8</v>
      </c>
      <c r="D29" s="487">
        <f>E29+E30+E31</f>
        <v>49768975.98</v>
      </c>
      <c r="E29" s="67">
        <f t="shared" si="0"/>
        <v>0</v>
      </c>
      <c r="F29" s="68">
        <v>0</v>
      </c>
      <c r="G29" s="69">
        <v>0</v>
      </c>
      <c r="H29" s="70">
        <v>0</v>
      </c>
      <c r="I29" s="69">
        <v>0</v>
      </c>
      <c r="J29" s="70">
        <v>0</v>
      </c>
      <c r="K29" s="71"/>
      <c r="L29" s="513"/>
      <c r="M29" s="37"/>
      <c r="N29" s="3"/>
    </row>
    <row r="30" spans="1:14" s="4" customFormat="1" ht="12.75" customHeight="1">
      <c r="A30" s="405"/>
      <c r="B30" s="408"/>
      <c r="C30" s="72" t="s">
        <v>9</v>
      </c>
      <c r="D30" s="488"/>
      <c r="E30" s="114">
        <f t="shared" si="0"/>
        <v>0</v>
      </c>
      <c r="F30" s="74">
        <v>0</v>
      </c>
      <c r="G30" s="75">
        <v>0</v>
      </c>
      <c r="H30" s="76">
        <v>0</v>
      </c>
      <c r="I30" s="75">
        <v>0</v>
      </c>
      <c r="J30" s="76">
        <v>0</v>
      </c>
      <c r="K30" s="77"/>
      <c r="L30" s="513"/>
      <c r="M30" s="37"/>
      <c r="N30" s="3"/>
    </row>
    <row r="31" spans="1:14" s="4" customFormat="1" ht="13.5" customHeight="1" thickBot="1">
      <c r="A31" s="406"/>
      <c r="B31" s="409"/>
      <c r="C31" s="78" t="s">
        <v>10</v>
      </c>
      <c r="D31" s="489"/>
      <c r="E31" s="79">
        <f t="shared" si="0"/>
        <v>49768975.98</v>
      </c>
      <c r="F31" s="115">
        <v>0</v>
      </c>
      <c r="G31" s="80">
        <v>49768975.98</v>
      </c>
      <c r="H31" s="81">
        <v>0</v>
      </c>
      <c r="I31" s="80">
        <v>0</v>
      </c>
      <c r="J31" s="81">
        <v>0</v>
      </c>
      <c r="K31" s="82"/>
      <c r="L31" s="513"/>
      <c r="M31" s="37"/>
      <c r="N31" s="3"/>
    </row>
    <row r="32" spans="1:14" s="4" customFormat="1" ht="13.5" customHeight="1">
      <c r="A32" s="404">
        <v>4</v>
      </c>
      <c r="B32" s="407" t="s">
        <v>26</v>
      </c>
      <c r="C32" s="66" t="s">
        <v>8</v>
      </c>
      <c r="D32" s="487">
        <f>G32</f>
        <v>1756768.66</v>
      </c>
      <c r="E32" s="67">
        <f t="shared" si="0"/>
        <v>1756768.66</v>
      </c>
      <c r="F32" s="68">
        <v>0</v>
      </c>
      <c r="G32" s="69">
        <v>1756768.66</v>
      </c>
      <c r="H32" s="70">
        <v>0</v>
      </c>
      <c r="I32" s="69">
        <v>0</v>
      </c>
      <c r="J32" s="70">
        <v>0</v>
      </c>
      <c r="K32" s="71"/>
      <c r="L32" s="513"/>
      <c r="M32" s="37"/>
      <c r="N32" s="3"/>
    </row>
    <row r="33" spans="1:14" s="4" customFormat="1" ht="12.75">
      <c r="A33" s="405"/>
      <c r="B33" s="408"/>
      <c r="C33" s="72" t="s">
        <v>9</v>
      </c>
      <c r="D33" s="488"/>
      <c r="E33" s="73">
        <f t="shared" si="0"/>
        <v>0</v>
      </c>
      <c r="F33" s="74">
        <f>SUM(G33:L33)</f>
        <v>0</v>
      </c>
      <c r="G33" s="75">
        <v>0</v>
      </c>
      <c r="H33" s="76">
        <v>0</v>
      </c>
      <c r="I33" s="75">
        <v>0</v>
      </c>
      <c r="J33" s="76">
        <v>0</v>
      </c>
      <c r="K33" s="77"/>
      <c r="L33" s="513"/>
      <c r="M33" s="37"/>
      <c r="N33" s="3"/>
    </row>
    <row r="34" spans="1:14" s="4" customFormat="1" ht="13.5" thickBot="1">
      <c r="A34" s="406"/>
      <c r="B34" s="409"/>
      <c r="C34" s="78" t="s">
        <v>10</v>
      </c>
      <c r="D34" s="489"/>
      <c r="E34" s="79">
        <f t="shared" si="0"/>
        <v>0</v>
      </c>
      <c r="F34" s="115">
        <v>0</v>
      </c>
      <c r="G34" s="80">
        <v>0</v>
      </c>
      <c r="H34" s="81">
        <v>0</v>
      </c>
      <c r="I34" s="80">
        <v>0</v>
      </c>
      <c r="J34" s="81">
        <v>0</v>
      </c>
      <c r="K34" s="82"/>
      <c r="L34" s="513"/>
      <c r="M34" s="37"/>
      <c r="N34" s="21"/>
    </row>
    <row r="35" spans="1:14" s="4" customFormat="1" ht="13.5" customHeight="1">
      <c r="A35" s="404">
        <v>5</v>
      </c>
      <c r="B35" s="407" t="s">
        <v>14</v>
      </c>
      <c r="C35" s="66" t="s">
        <v>8</v>
      </c>
      <c r="D35" s="487">
        <f>E35+E36+E37</f>
        <v>855064.1799999999</v>
      </c>
      <c r="E35" s="67">
        <f t="shared" si="0"/>
        <v>301419.48000000004</v>
      </c>
      <c r="F35" s="68">
        <f aca="true" t="shared" si="3" ref="F35:J37">F38+F41</f>
        <v>0</v>
      </c>
      <c r="G35" s="69">
        <f>G38+G41+G44</f>
        <v>0</v>
      </c>
      <c r="H35" s="70">
        <f>H38+H41+H44</f>
        <v>12393.46</v>
      </c>
      <c r="I35" s="69">
        <f>I38+I41+I44</f>
        <v>289026.02</v>
      </c>
      <c r="J35" s="70">
        <f>J38+J41+J44</f>
        <v>0</v>
      </c>
      <c r="K35" s="71"/>
      <c r="L35" s="513"/>
      <c r="M35" s="37"/>
      <c r="N35" s="3"/>
    </row>
    <row r="36" spans="1:14" s="4" customFormat="1" ht="12.75">
      <c r="A36" s="405"/>
      <c r="B36" s="408"/>
      <c r="C36" s="72" t="s">
        <v>9</v>
      </c>
      <c r="D36" s="488"/>
      <c r="E36" s="73">
        <f t="shared" si="0"/>
        <v>553644.7</v>
      </c>
      <c r="F36" s="74">
        <f t="shared" si="3"/>
        <v>0</v>
      </c>
      <c r="G36" s="75">
        <f t="shared" si="3"/>
        <v>318168.96</v>
      </c>
      <c r="H36" s="76">
        <f>H39+H42+H45</f>
        <v>235475.74</v>
      </c>
      <c r="I36" s="75">
        <f t="shared" si="3"/>
        <v>0</v>
      </c>
      <c r="J36" s="76">
        <f t="shared" si="3"/>
        <v>0</v>
      </c>
      <c r="K36" s="77"/>
      <c r="L36" s="513"/>
      <c r="M36" s="37"/>
      <c r="N36" s="3"/>
    </row>
    <row r="37" spans="1:15" s="4" customFormat="1" ht="13.5" thickBot="1">
      <c r="A37" s="406"/>
      <c r="B37" s="409"/>
      <c r="C37" s="78" t="s">
        <v>10</v>
      </c>
      <c r="D37" s="489"/>
      <c r="E37" s="79">
        <f t="shared" si="0"/>
        <v>0</v>
      </c>
      <c r="F37" s="115">
        <f t="shared" si="3"/>
        <v>0</v>
      </c>
      <c r="G37" s="80">
        <f t="shared" si="3"/>
        <v>0</v>
      </c>
      <c r="H37" s="81">
        <v>0</v>
      </c>
      <c r="I37" s="80">
        <f t="shared" si="3"/>
        <v>0</v>
      </c>
      <c r="J37" s="81">
        <f t="shared" si="3"/>
        <v>0</v>
      </c>
      <c r="K37" s="82"/>
      <c r="L37" s="513"/>
      <c r="M37" s="37"/>
      <c r="N37" s="3"/>
      <c r="O37" s="23"/>
    </row>
    <row r="38" spans="1:15" s="4" customFormat="1" ht="13.5" customHeight="1">
      <c r="A38" s="392"/>
      <c r="B38" s="454" t="s">
        <v>51</v>
      </c>
      <c r="C38" s="116" t="s">
        <v>8</v>
      </c>
      <c r="D38" s="504">
        <f>H38+H39</f>
        <v>0</v>
      </c>
      <c r="E38" s="117">
        <f t="shared" si="0"/>
        <v>289026.02</v>
      </c>
      <c r="F38" s="118">
        <v>0</v>
      </c>
      <c r="G38" s="119">
        <v>0</v>
      </c>
      <c r="H38" s="88">
        <v>0</v>
      </c>
      <c r="I38" s="119">
        <v>289026.02</v>
      </c>
      <c r="J38" s="120">
        <v>0</v>
      </c>
      <c r="K38" s="507"/>
      <c r="L38" s="513"/>
      <c r="M38" s="37"/>
      <c r="N38" s="21"/>
      <c r="O38" s="23"/>
    </row>
    <row r="39" spans="1:14" s="4" customFormat="1" ht="12.75">
      <c r="A39" s="393"/>
      <c r="B39" s="455"/>
      <c r="C39" s="121" t="s">
        <v>9</v>
      </c>
      <c r="D39" s="505"/>
      <c r="E39" s="122">
        <f t="shared" si="0"/>
        <v>0</v>
      </c>
      <c r="F39" s="123">
        <v>0</v>
      </c>
      <c r="G39" s="124">
        <v>0</v>
      </c>
      <c r="H39" s="95">
        <v>0</v>
      </c>
      <c r="I39" s="124">
        <v>0</v>
      </c>
      <c r="J39" s="125">
        <v>0</v>
      </c>
      <c r="K39" s="508"/>
      <c r="L39" s="513"/>
      <c r="M39" s="37"/>
      <c r="N39" s="3"/>
    </row>
    <row r="40" spans="1:15" s="4" customFormat="1" ht="13.5" thickBot="1">
      <c r="A40" s="394"/>
      <c r="B40" s="490"/>
      <c r="C40" s="126" t="s">
        <v>10</v>
      </c>
      <c r="D40" s="506"/>
      <c r="E40" s="127">
        <f t="shared" si="0"/>
        <v>0</v>
      </c>
      <c r="F40" s="128">
        <v>0</v>
      </c>
      <c r="G40" s="129">
        <v>0</v>
      </c>
      <c r="H40" s="130">
        <v>0</v>
      </c>
      <c r="I40" s="129">
        <v>0</v>
      </c>
      <c r="J40" s="131">
        <v>0</v>
      </c>
      <c r="K40" s="509"/>
      <c r="L40" s="513"/>
      <c r="M40" s="37"/>
      <c r="N40" s="26"/>
      <c r="O40" s="27"/>
    </row>
    <row r="41" spans="1:15" s="4" customFormat="1" ht="13.5" customHeight="1">
      <c r="A41" s="392"/>
      <c r="B41" s="454" t="s">
        <v>50</v>
      </c>
      <c r="C41" s="116" t="s">
        <v>8</v>
      </c>
      <c r="D41" s="504">
        <f>E41+E42+E43</f>
        <v>318168.96</v>
      </c>
      <c r="E41" s="117">
        <f t="shared" si="0"/>
        <v>0</v>
      </c>
      <c r="F41" s="118">
        <v>0</v>
      </c>
      <c r="G41" s="119">
        <v>0</v>
      </c>
      <c r="H41" s="88">
        <v>0</v>
      </c>
      <c r="I41" s="119">
        <v>0</v>
      </c>
      <c r="J41" s="120">
        <v>0</v>
      </c>
      <c r="K41" s="132"/>
      <c r="L41" s="513"/>
      <c r="M41" s="37"/>
      <c r="N41" s="26"/>
      <c r="O41" s="28"/>
    </row>
    <row r="42" spans="1:15" s="4" customFormat="1" ht="12.75">
      <c r="A42" s="393"/>
      <c r="B42" s="455"/>
      <c r="C42" s="121" t="s">
        <v>9</v>
      </c>
      <c r="D42" s="505"/>
      <c r="E42" s="122">
        <f t="shared" si="0"/>
        <v>318168.96</v>
      </c>
      <c r="F42" s="123">
        <v>0</v>
      </c>
      <c r="G42" s="124">
        <f>379349.96-G87</f>
        <v>318168.96</v>
      </c>
      <c r="H42" s="95">
        <v>0</v>
      </c>
      <c r="I42" s="124">
        <v>0</v>
      </c>
      <c r="J42" s="125">
        <v>0</v>
      </c>
      <c r="K42" s="133"/>
      <c r="L42" s="513"/>
      <c r="M42" s="37"/>
      <c r="N42" s="29"/>
      <c r="O42" s="28"/>
    </row>
    <row r="43" spans="1:15" s="4" customFormat="1" ht="13.5" thickBot="1">
      <c r="A43" s="394"/>
      <c r="B43" s="490"/>
      <c r="C43" s="126" t="s">
        <v>10</v>
      </c>
      <c r="D43" s="506"/>
      <c r="E43" s="127">
        <f t="shared" si="0"/>
        <v>0</v>
      </c>
      <c r="F43" s="128">
        <v>0</v>
      </c>
      <c r="G43" s="129">
        <v>0</v>
      </c>
      <c r="H43" s="130">
        <v>0</v>
      </c>
      <c r="I43" s="129">
        <v>0</v>
      </c>
      <c r="J43" s="131">
        <v>0</v>
      </c>
      <c r="K43" s="134"/>
      <c r="L43" s="513"/>
      <c r="M43" s="37"/>
      <c r="N43" s="26"/>
      <c r="O43" s="28"/>
    </row>
    <row r="44" spans="1:15" s="4" customFormat="1" ht="12.75">
      <c r="A44" s="392"/>
      <c r="B44" s="454" t="s">
        <v>54</v>
      </c>
      <c r="C44" s="116" t="s">
        <v>8</v>
      </c>
      <c r="D44" s="504">
        <f>H44+H45</f>
        <v>247869.19999999998</v>
      </c>
      <c r="E44" s="117">
        <f>SUM(F44:J44)</f>
        <v>12393.46</v>
      </c>
      <c r="F44" s="118">
        <v>0</v>
      </c>
      <c r="G44" s="119">
        <v>0</v>
      </c>
      <c r="H44" s="88">
        <f>ROUND((242630+5239.2)*5/100,2)</f>
        <v>12393.46</v>
      </c>
      <c r="I44" s="119">
        <v>0</v>
      </c>
      <c r="J44" s="120">
        <v>0</v>
      </c>
      <c r="K44" s="132"/>
      <c r="L44" s="513"/>
      <c r="M44" s="40"/>
      <c r="N44" s="29"/>
      <c r="O44" s="28"/>
    </row>
    <row r="45" spans="1:15" s="4" customFormat="1" ht="12.75">
      <c r="A45" s="393"/>
      <c r="B45" s="455"/>
      <c r="C45" s="121" t="s">
        <v>9</v>
      </c>
      <c r="D45" s="505"/>
      <c r="E45" s="122">
        <f>SUM(F45:J45)</f>
        <v>235475.74</v>
      </c>
      <c r="F45" s="123">
        <v>0</v>
      </c>
      <c r="G45" s="124">
        <v>0</v>
      </c>
      <c r="H45" s="95">
        <f>ROUND((242630+5239.2)*95/100,2)</f>
        <v>235475.74</v>
      </c>
      <c r="I45" s="124">
        <v>0</v>
      </c>
      <c r="J45" s="125">
        <v>0</v>
      </c>
      <c r="K45" s="133"/>
      <c r="L45" s="513"/>
      <c r="M45" s="40"/>
      <c r="N45" s="29"/>
      <c r="O45" s="28"/>
    </row>
    <row r="46" spans="1:15" s="4" customFormat="1" ht="12.75" customHeight="1" thickBot="1">
      <c r="A46" s="394"/>
      <c r="B46" s="490"/>
      <c r="C46" s="126" t="s">
        <v>10</v>
      </c>
      <c r="D46" s="506"/>
      <c r="E46" s="127">
        <f>SUM(F46:J46)</f>
        <v>0</v>
      </c>
      <c r="F46" s="128">
        <v>0</v>
      </c>
      <c r="G46" s="129">
        <v>0</v>
      </c>
      <c r="H46" s="130">
        <v>0</v>
      </c>
      <c r="I46" s="129">
        <v>0</v>
      </c>
      <c r="J46" s="131">
        <v>0</v>
      </c>
      <c r="K46" s="134"/>
      <c r="L46" s="513"/>
      <c r="M46" s="39"/>
      <c r="N46" s="26"/>
      <c r="O46" s="28"/>
    </row>
    <row r="47" spans="1:15" s="4" customFormat="1" ht="12.75" customHeight="1" hidden="1">
      <c r="A47" s="404">
        <v>6</v>
      </c>
      <c r="B47" s="407" t="s">
        <v>27</v>
      </c>
      <c r="C47" s="135" t="s">
        <v>8</v>
      </c>
      <c r="D47" s="494">
        <f>E47+E48+E49</f>
        <v>0</v>
      </c>
      <c r="E47" s="136">
        <f t="shared" si="0"/>
        <v>0</v>
      </c>
      <c r="F47" s="136">
        <v>0</v>
      </c>
      <c r="G47" s="137">
        <v>0</v>
      </c>
      <c r="H47" s="138">
        <v>0</v>
      </c>
      <c r="I47" s="137">
        <v>0</v>
      </c>
      <c r="J47" s="68">
        <v>0</v>
      </c>
      <c r="K47" s="71"/>
      <c r="L47" s="513"/>
      <c r="M47" s="39"/>
      <c r="N47" s="26"/>
      <c r="O47" s="28"/>
    </row>
    <row r="48" spans="1:15" s="4" customFormat="1" ht="12" customHeight="1" hidden="1">
      <c r="A48" s="405"/>
      <c r="B48" s="408"/>
      <c r="C48" s="139" t="s">
        <v>9</v>
      </c>
      <c r="D48" s="494"/>
      <c r="E48" s="140">
        <f t="shared" si="0"/>
        <v>0</v>
      </c>
      <c r="F48" s="140">
        <v>0</v>
      </c>
      <c r="G48" s="141">
        <v>0</v>
      </c>
      <c r="H48" s="141">
        <v>0</v>
      </c>
      <c r="I48" s="141">
        <v>0</v>
      </c>
      <c r="J48" s="74">
        <v>0</v>
      </c>
      <c r="K48" s="77"/>
      <c r="L48" s="513"/>
      <c r="M48" s="39"/>
      <c r="N48" s="26"/>
      <c r="O48" s="28"/>
    </row>
    <row r="49" spans="1:15" s="4" customFormat="1" ht="12.75" customHeight="1" hidden="1">
      <c r="A49" s="406"/>
      <c r="B49" s="409"/>
      <c r="C49" s="142" t="s">
        <v>10</v>
      </c>
      <c r="D49" s="494"/>
      <c r="E49" s="143">
        <f t="shared" si="0"/>
        <v>0</v>
      </c>
      <c r="F49" s="144">
        <v>0</v>
      </c>
      <c r="G49" s="144"/>
      <c r="H49" s="145">
        <v>0</v>
      </c>
      <c r="I49" s="146">
        <v>0</v>
      </c>
      <c r="J49" s="115">
        <v>0</v>
      </c>
      <c r="K49" s="82"/>
      <c r="L49" s="513"/>
      <c r="M49" s="39"/>
      <c r="N49" s="26"/>
      <c r="O49" s="28"/>
    </row>
    <row r="50" spans="1:15" ht="12.75" customHeight="1">
      <c r="A50" s="404" t="s">
        <v>92</v>
      </c>
      <c r="B50" s="407" t="s">
        <v>24</v>
      </c>
      <c r="C50" s="66" t="s">
        <v>15</v>
      </c>
      <c r="D50" s="147"/>
      <c r="E50" s="148">
        <f t="shared" si="0"/>
        <v>2342501.01</v>
      </c>
      <c r="F50" s="149">
        <f>2342501.01</f>
        <v>2342501.01</v>
      </c>
      <c r="G50" s="69">
        <v>0</v>
      </c>
      <c r="H50" s="70">
        <v>0</v>
      </c>
      <c r="I50" s="69">
        <v>0</v>
      </c>
      <c r="J50" s="70">
        <v>0</v>
      </c>
      <c r="K50" s="71"/>
      <c r="L50" s="513"/>
      <c r="M50" s="39"/>
      <c r="N50" s="26"/>
      <c r="O50" s="48"/>
    </row>
    <row r="51" spans="1:15" ht="15.75" customHeight="1">
      <c r="A51" s="405"/>
      <c r="B51" s="408"/>
      <c r="C51" s="72" t="s">
        <v>9</v>
      </c>
      <c r="D51" s="150">
        <f>E50+E51+E52</f>
        <v>2342501.01</v>
      </c>
      <c r="E51" s="151">
        <f t="shared" si="0"/>
        <v>0</v>
      </c>
      <c r="F51" s="152">
        <v>0</v>
      </c>
      <c r="G51" s="75">
        <v>0</v>
      </c>
      <c r="H51" s="76">
        <v>0</v>
      </c>
      <c r="I51" s="75">
        <v>0</v>
      </c>
      <c r="J51" s="76">
        <v>0</v>
      </c>
      <c r="K51" s="77"/>
      <c r="L51" s="513"/>
      <c r="M51" s="37"/>
      <c r="N51" s="5"/>
      <c r="O51" s="1"/>
    </row>
    <row r="52" spans="1:15" ht="13.5" thickBot="1">
      <c r="A52" s="406"/>
      <c r="B52" s="409"/>
      <c r="C52" s="153" t="s">
        <v>10</v>
      </c>
      <c r="D52" s="154"/>
      <c r="E52" s="155">
        <f t="shared" si="0"/>
        <v>0</v>
      </c>
      <c r="F52" s="156">
        <v>0</v>
      </c>
      <c r="G52" s="80">
        <v>0</v>
      </c>
      <c r="H52" s="157">
        <v>0</v>
      </c>
      <c r="I52" s="80">
        <v>0</v>
      </c>
      <c r="J52" s="157">
        <v>0</v>
      </c>
      <c r="K52" s="82"/>
      <c r="L52" s="513"/>
      <c r="M52" s="37"/>
      <c r="N52" s="5"/>
      <c r="O52" s="1"/>
    </row>
    <row r="53" spans="1:14" s="8" customFormat="1" ht="13.5" customHeight="1">
      <c r="A53" s="404" t="s">
        <v>93</v>
      </c>
      <c r="B53" s="501" t="s">
        <v>25</v>
      </c>
      <c r="C53" s="158" t="s">
        <v>15</v>
      </c>
      <c r="D53" s="487">
        <f>E53+E54+E55</f>
        <v>4311271.74</v>
      </c>
      <c r="E53" s="159">
        <f t="shared" si="0"/>
        <v>4311271.74</v>
      </c>
      <c r="F53" s="149">
        <f>4141866.08+169405.66</f>
        <v>4311271.74</v>
      </c>
      <c r="G53" s="160">
        <v>0</v>
      </c>
      <c r="H53" s="159">
        <v>0</v>
      </c>
      <c r="I53" s="160">
        <v>0</v>
      </c>
      <c r="J53" s="161">
        <v>0</v>
      </c>
      <c r="K53" s="162"/>
      <c r="L53" s="513"/>
      <c r="M53" s="37"/>
      <c r="N53" s="7"/>
    </row>
    <row r="54" spans="1:14" s="8" customFormat="1" ht="12.75">
      <c r="A54" s="405"/>
      <c r="B54" s="502"/>
      <c r="C54" s="163" t="s">
        <v>9</v>
      </c>
      <c r="D54" s="488"/>
      <c r="E54" s="151">
        <f t="shared" si="0"/>
        <v>0</v>
      </c>
      <c r="F54" s="152">
        <v>0</v>
      </c>
      <c r="G54" s="164">
        <v>0</v>
      </c>
      <c r="H54" s="151">
        <v>0</v>
      </c>
      <c r="I54" s="164">
        <v>0</v>
      </c>
      <c r="J54" s="165">
        <v>0</v>
      </c>
      <c r="K54" s="166"/>
      <c r="L54" s="513"/>
      <c r="M54" s="37"/>
      <c r="N54" s="7"/>
    </row>
    <row r="55" spans="1:14" s="8" customFormat="1" ht="13.5" thickBot="1">
      <c r="A55" s="406"/>
      <c r="B55" s="503"/>
      <c r="C55" s="167" t="s">
        <v>10</v>
      </c>
      <c r="D55" s="489"/>
      <c r="E55" s="168">
        <f t="shared" si="0"/>
        <v>0</v>
      </c>
      <c r="F55" s="169">
        <v>0</v>
      </c>
      <c r="G55" s="170">
        <v>0</v>
      </c>
      <c r="H55" s="168">
        <v>0</v>
      </c>
      <c r="I55" s="170">
        <v>0</v>
      </c>
      <c r="J55" s="171">
        <v>0</v>
      </c>
      <c r="K55" s="172"/>
      <c r="L55" s="513"/>
      <c r="M55" s="37"/>
      <c r="N55" s="7"/>
    </row>
    <row r="56" spans="1:14" s="8" customFormat="1" ht="13.5" customHeight="1">
      <c r="A56" s="404" t="s">
        <v>94</v>
      </c>
      <c r="B56" s="501" t="s">
        <v>23</v>
      </c>
      <c r="C56" s="173" t="s">
        <v>8</v>
      </c>
      <c r="D56" s="487">
        <f>E56+E57+E58</f>
        <v>1979233.93</v>
      </c>
      <c r="E56" s="159">
        <f t="shared" si="0"/>
        <v>1979233.93</v>
      </c>
      <c r="F56" s="174">
        <v>0</v>
      </c>
      <c r="G56" s="175">
        <v>1979233.93</v>
      </c>
      <c r="H56" s="149">
        <v>0</v>
      </c>
      <c r="I56" s="69">
        <v>0</v>
      </c>
      <c r="J56" s="176">
        <v>0</v>
      </c>
      <c r="K56" s="69"/>
      <c r="L56" s="514"/>
      <c r="M56" s="37"/>
      <c r="N56" s="22"/>
    </row>
    <row r="57" spans="1:14" s="8" customFormat="1" ht="12.75">
      <c r="A57" s="405"/>
      <c r="B57" s="502"/>
      <c r="C57" s="177" t="s">
        <v>9</v>
      </c>
      <c r="D57" s="488"/>
      <c r="E57" s="151">
        <f t="shared" si="0"/>
        <v>0</v>
      </c>
      <c r="F57" s="178">
        <v>0</v>
      </c>
      <c r="G57" s="140">
        <v>0</v>
      </c>
      <c r="H57" s="74">
        <v>0</v>
      </c>
      <c r="I57" s="75">
        <v>0</v>
      </c>
      <c r="J57" s="179">
        <v>0</v>
      </c>
      <c r="K57" s="111"/>
      <c r="L57" s="514"/>
      <c r="M57" s="37"/>
      <c r="N57" s="22"/>
    </row>
    <row r="58" spans="1:14" s="8" customFormat="1" ht="13.5" thickBot="1">
      <c r="A58" s="406"/>
      <c r="B58" s="503"/>
      <c r="C58" s="180" t="s">
        <v>10</v>
      </c>
      <c r="D58" s="489"/>
      <c r="E58" s="168">
        <f t="shared" si="0"/>
        <v>0</v>
      </c>
      <c r="F58" s="181">
        <v>0</v>
      </c>
      <c r="G58" s="182">
        <v>0</v>
      </c>
      <c r="H58" s="183">
        <v>0</v>
      </c>
      <c r="I58" s="80">
        <v>0</v>
      </c>
      <c r="J58" s="184">
        <v>0</v>
      </c>
      <c r="K58" s="185"/>
      <c r="L58" s="514"/>
      <c r="M58" s="37"/>
      <c r="N58" s="7"/>
    </row>
    <row r="59" spans="1:14" s="8" customFormat="1" ht="13.5" customHeight="1">
      <c r="A59" s="404" t="s">
        <v>95</v>
      </c>
      <c r="B59" s="407" t="s">
        <v>125</v>
      </c>
      <c r="C59" s="186" t="s">
        <v>8</v>
      </c>
      <c r="D59" s="487">
        <f>E59+E60+E61</f>
        <v>988741.18</v>
      </c>
      <c r="E59" s="187">
        <f t="shared" si="0"/>
        <v>988741.18</v>
      </c>
      <c r="F59" s="162">
        <v>0</v>
      </c>
      <c r="G59" s="160">
        <v>988741.18</v>
      </c>
      <c r="H59" s="188">
        <v>0</v>
      </c>
      <c r="I59" s="69">
        <v>0</v>
      </c>
      <c r="J59" s="176">
        <v>0</v>
      </c>
      <c r="K59" s="71"/>
      <c r="L59" s="513"/>
      <c r="M59" s="37"/>
      <c r="N59" s="7"/>
    </row>
    <row r="60" spans="1:14" s="8" customFormat="1" ht="12.75">
      <c r="A60" s="405"/>
      <c r="B60" s="408"/>
      <c r="C60" s="72" t="s">
        <v>9</v>
      </c>
      <c r="D60" s="488"/>
      <c r="E60" s="151">
        <f t="shared" si="0"/>
        <v>0</v>
      </c>
      <c r="F60" s="152">
        <v>0</v>
      </c>
      <c r="G60" s="164">
        <v>0</v>
      </c>
      <c r="H60" s="76">
        <v>0</v>
      </c>
      <c r="I60" s="75">
        <v>0</v>
      </c>
      <c r="J60" s="179">
        <v>0</v>
      </c>
      <c r="K60" s="77"/>
      <c r="L60" s="513"/>
      <c r="M60" s="37"/>
      <c r="N60" s="13"/>
    </row>
    <row r="61" spans="1:14" s="8" customFormat="1" ht="13.5" thickBot="1">
      <c r="A61" s="406"/>
      <c r="B61" s="409"/>
      <c r="C61" s="78" t="s">
        <v>10</v>
      </c>
      <c r="D61" s="489"/>
      <c r="E61" s="189">
        <f t="shared" si="0"/>
        <v>0</v>
      </c>
      <c r="F61" s="169">
        <v>0</v>
      </c>
      <c r="G61" s="170">
        <v>0</v>
      </c>
      <c r="H61" s="190">
        <v>0</v>
      </c>
      <c r="I61" s="80">
        <v>0</v>
      </c>
      <c r="J61" s="184">
        <v>0</v>
      </c>
      <c r="K61" s="82"/>
      <c r="L61" s="513"/>
      <c r="M61" s="37"/>
      <c r="N61" s="13"/>
    </row>
    <row r="62" spans="1:14" s="8" customFormat="1" ht="13.5" customHeight="1">
      <c r="A62" s="404" t="s">
        <v>96</v>
      </c>
      <c r="B62" s="407" t="s">
        <v>28</v>
      </c>
      <c r="C62" s="66" t="s">
        <v>8</v>
      </c>
      <c r="D62" s="487">
        <f>E62+E63+E64</f>
        <v>610513.12</v>
      </c>
      <c r="E62" s="151">
        <f t="shared" si="0"/>
        <v>610513.12</v>
      </c>
      <c r="F62" s="162">
        <v>0</v>
      </c>
      <c r="G62" s="160">
        <v>610513.12</v>
      </c>
      <c r="H62" s="188">
        <v>0</v>
      </c>
      <c r="I62" s="69">
        <v>0</v>
      </c>
      <c r="J62" s="176">
        <v>0</v>
      </c>
      <c r="K62" s="71"/>
      <c r="L62" s="513"/>
      <c r="M62" s="37"/>
      <c r="N62" s="7"/>
    </row>
    <row r="63" spans="1:14" s="8" customFormat="1" ht="12.75">
      <c r="A63" s="405"/>
      <c r="B63" s="408"/>
      <c r="C63" s="72" t="s">
        <v>9</v>
      </c>
      <c r="D63" s="488"/>
      <c r="E63" s="151">
        <f t="shared" si="0"/>
        <v>0</v>
      </c>
      <c r="F63" s="152">
        <v>0</v>
      </c>
      <c r="G63" s="164">
        <v>0</v>
      </c>
      <c r="H63" s="76">
        <v>0</v>
      </c>
      <c r="I63" s="75">
        <v>0</v>
      </c>
      <c r="J63" s="179">
        <v>0</v>
      </c>
      <c r="K63" s="77"/>
      <c r="L63" s="513"/>
      <c r="M63" s="37"/>
      <c r="N63" s="7"/>
    </row>
    <row r="64" spans="1:14" s="8" customFormat="1" ht="13.5" thickBot="1">
      <c r="A64" s="406"/>
      <c r="B64" s="409"/>
      <c r="C64" s="78" t="s">
        <v>10</v>
      </c>
      <c r="D64" s="489"/>
      <c r="E64" s="189">
        <f t="shared" si="0"/>
        <v>0</v>
      </c>
      <c r="F64" s="169">
        <v>0</v>
      </c>
      <c r="G64" s="170">
        <v>0</v>
      </c>
      <c r="H64" s="190">
        <v>0</v>
      </c>
      <c r="I64" s="80">
        <v>0</v>
      </c>
      <c r="J64" s="184">
        <v>0</v>
      </c>
      <c r="K64" s="82"/>
      <c r="L64" s="513"/>
      <c r="M64" s="37"/>
      <c r="N64" s="7"/>
    </row>
    <row r="65" spans="1:14" ht="12.75" customHeight="1">
      <c r="A65" s="404" t="s">
        <v>97</v>
      </c>
      <c r="B65" s="407" t="s">
        <v>29</v>
      </c>
      <c r="C65" s="66" t="s">
        <v>8</v>
      </c>
      <c r="D65" s="487">
        <f>F65+G65+I67</f>
        <v>33997774.51</v>
      </c>
      <c r="E65" s="151"/>
      <c r="F65" s="162">
        <f>8496339.34+417000</f>
        <v>8913339.34</v>
      </c>
      <c r="G65" s="160">
        <f>4667435.17+417000</f>
        <v>5084435.17</v>
      </c>
      <c r="H65" s="188">
        <v>0</v>
      </c>
      <c r="I65" s="69">
        <v>0</v>
      </c>
      <c r="J65" s="176">
        <v>0</v>
      </c>
      <c r="K65" s="71"/>
      <c r="L65" s="513"/>
      <c r="M65" s="37"/>
      <c r="N65" s="12"/>
    </row>
    <row r="66" spans="1:14" ht="12.75">
      <c r="A66" s="405"/>
      <c r="B66" s="408"/>
      <c r="C66" s="72" t="s">
        <v>9</v>
      </c>
      <c r="D66" s="488"/>
      <c r="E66" s="151">
        <f>SUM(F66:I66)</f>
        <v>0</v>
      </c>
      <c r="F66" s="152">
        <v>0</v>
      </c>
      <c r="G66" s="164">
        <v>0</v>
      </c>
      <c r="H66" s="76">
        <v>0</v>
      </c>
      <c r="I66" s="75">
        <v>0</v>
      </c>
      <c r="J66" s="179">
        <v>0</v>
      </c>
      <c r="K66" s="77"/>
      <c r="L66" s="513"/>
      <c r="M66" s="37"/>
      <c r="N66" s="1"/>
    </row>
    <row r="67" spans="1:14" ht="13.5" thickBot="1">
      <c r="A67" s="406"/>
      <c r="B67" s="409"/>
      <c r="C67" s="78" t="s">
        <v>10</v>
      </c>
      <c r="D67" s="489"/>
      <c r="E67" s="189">
        <f>SUM(F67:I67)</f>
        <v>20000000</v>
      </c>
      <c r="F67" s="169">
        <v>0</v>
      </c>
      <c r="G67" s="170">
        <v>0</v>
      </c>
      <c r="H67" s="190">
        <v>0</v>
      </c>
      <c r="I67" s="80">
        <v>20000000</v>
      </c>
      <c r="J67" s="184">
        <v>0</v>
      </c>
      <c r="K67" s="82"/>
      <c r="L67" s="513"/>
      <c r="M67" s="37"/>
      <c r="N67" s="12"/>
    </row>
    <row r="68" spans="1:14" s="4" customFormat="1" ht="12.75" customHeight="1">
      <c r="A68" s="404" t="s">
        <v>99</v>
      </c>
      <c r="B68" s="407" t="s">
        <v>53</v>
      </c>
      <c r="C68" s="66" t="s">
        <v>8</v>
      </c>
      <c r="D68" s="487">
        <f>E68+E69+E70</f>
        <v>211599.99</v>
      </c>
      <c r="E68" s="67">
        <f>SUM(F68:J68)</f>
        <v>211599.99</v>
      </c>
      <c r="F68" s="162">
        <v>211599.99</v>
      </c>
      <c r="G68" s="160">
        <v>0</v>
      </c>
      <c r="H68" s="191">
        <v>0</v>
      </c>
      <c r="I68" s="69">
        <v>0</v>
      </c>
      <c r="J68" s="191">
        <v>0</v>
      </c>
      <c r="K68" s="71"/>
      <c r="L68" s="513"/>
      <c r="M68" s="37"/>
      <c r="N68" s="3"/>
    </row>
    <row r="69" spans="1:14" s="4" customFormat="1" ht="12.75" customHeight="1">
      <c r="A69" s="405"/>
      <c r="B69" s="408"/>
      <c r="C69" s="72" t="s">
        <v>9</v>
      </c>
      <c r="D69" s="488"/>
      <c r="E69" s="114">
        <f>SUM(F69:J69)</f>
        <v>0</v>
      </c>
      <c r="F69" s="192">
        <v>0</v>
      </c>
      <c r="G69" s="164">
        <v>0</v>
      </c>
      <c r="H69" s="76">
        <v>0</v>
      </c>
      <c r="I69" s="75">
        <v>0</v>
      </c>
      <c r="J69" s="76">
        <v>0</v>
      </c>
      <c r="K69" s="77"/>
      <c r="L69" s="513"/>
      <c r="M69" s="37"/>
      <c r="N69" s="3"/>
    </row>
    <row r="70" spans="1:14" s="4" customFormat="1" ht="13.5" customHeight="1" thickBot="1">
      <c r="A70" s="406"/>
      <c r="B70" s="409"/>
      <c r="C70" s="78" t="s">
        <v>10</v>
      </c>
      <c r="D70" s="489"/>
      <c r="E70" s="79">
        <f>SUM(F70:J70)</f>
        <v>0</v>
      </c>
      <c r="F70" s="115">
        <v>0</v>
      </c>
      <c r="G70" s="80">
        <v>0</v>
      </c>
      <c r="H70" s="81">
        <v>0</v>
      </c>
      <c r="I70" s="80">
        <v>0</v>
      </c>
      <c r="J70" s="81">
        <v>0</v>
      </c>
      <c r="K70" s="82"/>
      <c r="L70" s="513"/>
      <c r="M70" s="37"/>
      <c r="N70" s="3"/>
    </row>
    <row r="71" spans="1:14" ht="12.75" customHeight="1">
      <c r="A71" s="404" t="s">
        <v>98</v>
      </c>
      <c r="B71" s="407" t="s">
        <v>63</v>
      </c>
      <c r="C71" s="66" t="s">
        <v>8</v>
      </c>
      <c r="D71" s="487">
        <f>E71+E72+E73</f>
        <v>111782397</v>
      </c>
      <c r="E71" s="73">
        <f>SUM(F71:J71)</f>
        <v>0</v>
      </c>
      <c r="F71" s="192">
        <f>SUM(G71:L71)</f>
        <v>0</v>
      </c>
      <c r="G71" s="160">
        <f>SUM(H71:N71)</f>
        <v>0</v>
      </c>
      <c r="H71" s="151">
        <f>SUM(I71:O71)</f>
        <v>0</v>
      </c>
      <c r="I71" s="160">
        <f>SUM(J71:P71)</f>
        <v>0</v>
      </c>
      <c r="J71" s="151">
        <f>SUM(L71:Q71)</f>
        <v>0</v>
      </c>
      <c r="K71" s="162"/>
      <c r="L71" s="513"/>
      <c r="M71" s="37"/>
      <c r="N71" s="1"/>
    </row>
    <row r="72" spans="1:14" ht="12.75" customHeight="1">
      <c r="A72" s="405"/>
      <c r="B72" s="408"/>
      <c r="C72" s="72" t="s">
        <v>9</v>
      </c>
      <c r="D72" s="488"/>
      <c r="E72" s="73">
        <f>SUM(F72:I72)</f>
        <v>0</v>
      </c>
      <c r="F72" s="192">
        <f>SUM(G72:J72)</f>
        <v>0</v>
      </c>
      <c r="G72" s="164">
        <f>SUM(H72:L72)</f>
        <v>0</v>
      </c>
      <c r="H72" s="151">
        <f>SUM(I72:N72)</f>
        <v>0</v>
      </c>
      <c r="I72" s="164">
        <f>SUM(J72:O72)</f>
        <v>0</v>
      </c>
      <c r="J72" s="151">
        <f>SUM(L72:P72)</f>
        <v>0</v>
      </c>
      <c r="K72" s="166"/>
      <c r="L72" s="513"/>
      <c r="M72" s="37"/>
      <c r="N72" s="1"/>
    </row>
    <row r="73" spans="1:14" ht="12.75" customHeight="1" thickBot="1">
      <c r="A73" s="406"/>
      <c r="B73" s="409"/>
      <c r="C73" s="78" t="s">
        <v>10</v>
      </c>
      <c r="D73" s="489"/>
      <c r="E73" s="79">
        <f>SUM(F73:I73)</f>
        <v>111782397</v>
      </c>
      <c r="F73" s="193">
        <v>0</v>
      </c>
      <c r="G73" s="194">
        <v>30000000</v>
      </c>
      <c r="H73" s="189">
        <f>111782397-30000000</f>
        <v>81782397</v>
      </c>
      <c r="I73" s="170">
        <v>0</v>
      </c>
      <c r="J73" s="151">
        <f>SUM(L73:P73)</f>
        <v>0</v>
      </c>
      <c r="K73" s="195"/>
      <c r="L73" s="513"/>
      <c r="M73" s="37"/>
      <c r="N73" s="1"/>
    </row>
    <row r="74" spans="1:14" s="4" customFormat="1" ht="13.5" customHeight="1">
      <c r="A74" s="404" t="s">
        <v>100</v>
      </c>
      <c r="B74" s="407" t="s">
        <v>71</v>
      </c>
      <c r="C74" s="66" t="s">
        <v>8</v>
      </c>
      <c r="D74" s="487">
        <v>6000000</v>
      </c>
      <c r="E74" s="67">
        <f aca="true" t="shared" si="4" ref="E74:E100">SUM(F74:J74)</f>
        <v>0</v>
      </c>
      <c r="F74" s="68">
        <f>F77+F80</f>
        <v>0</v>
      </c>
      <c r="G74" s="69">
        <f>G77+G80</f>
        <v>0</v>
      </c>
      <c r="H74" s="70">
        <f>H77+H80</f>
        <v>0</v>
      </c>
      <c r="I74" s="69">
        <f>I77+I80</f>
        <v>0</v>
      </c>
      <c r="J74" s="70">
        <f>J77+J80</f>
        <v>0</v>
      </c>
      <c r="K74" s="373" t="s">
        <v>154</v>
      </c>
      <c r="L74" s="513"/>
      <c r="M74" s="37"/>
      <c r="N74" s="3"/>
    </row>
    <row r="75" spans="1:14" s="4" customFormat="1" ht="13.5" customHeight="1">
      <c r="A75" s="405"/>
      <c r="B75" s="408"/>
      <c r="C75" s="72" t="s">
        <v>9</v>
      </c>
      <c r="D75" s="488"/>
      <c r="E75" s="73">
        <f t="shared" si="4"/>
        <v>0</v>
      </c>
      <c r="F75" s="74">
        <v>0</v>
      </c>
      <c r="G75" s="75">
        <f aca="true" t="shared" si="5" ref="G75:J76">G78+G81</f>
        <v>0</v>
      </c>
      <c r="H75" s="76">
        <f t="shared" si="5"/>
        <v>0</v>
      </c>
      <c r="I75" s="75">
        <f t="shared" si="5"/>
        <v>0</v>
      </c>
      <c r="J75" s="76">
        <f t="shared" si="5"/>
        <v>0</v>
      </c>
      <c r="K75" s="374"/>
      <c r="L75" s="513"/>
      <c r="M75" s="37"/>
      <c r="N75" s="3"/>
    </row>
    <row r="76" spans="1:14" s="4" customFormat="1" ht="12.75" customHeight="1" thickBot="1">
      <c r="A76" s="406"/>
      <c r="B76" s="409"/>
      <c r="C76" s="78" t="s">
        <v>10</v>
      </c>
      <c r="D76" s="489"/>
      <c r="E76" s="79">
        <f t="shared" si="4"/>
        <v>0</v>
      </c>
      <c r="F76" s="74">
        <f>F79+F82</f>
        <v>0</v>
      </c>
      <c r="G76" s="80">
        <f t="shared" si="5"/>
        <v>0</v>
      </c>
      <c r="H76" s="81">
        <f t="shared" si="5"/>
        <v>0</v>
      </c>
      <c r="I76" s="80">
        <f t="shared" si="5"/>
        <v>0</v>
      </c>
      <c r="J76" s="81">
        <f t="shared" si="5"/>
        <v>0</v>
      </c>
      <c r="K76" s="374"/>
      <c r="L76" s="513"/>
      <c r="M76" s="37"/>
      <c r="N76" s="3"/>
    </row>
    <row r="77" spans="1:14" s="4" customFormat="1" ht="13.5" customHeight="1" hidden="1">
      <c r="A77" s="462"/>
      <c r="B77" s="495" t="s">
        <v>57</v>
      </c>
      <c r="C77" s="196" t="s">
        <v>8</v>
      </c>
      <c r="D77" s="498" t="s">
        <v>89</v>
      </c>
      <c r="E77" s="197">
        <f t="shared" si="4"/>
        <v>0</v>
      </c>
      <c r="F77" s="198">
        <v>0</v>
      </c>
      <c r="G77" s="199">
        <v>0</v>
      </c>
      <c r="H77" s="198">
        <v>0</v>
      </c>
      <c r="I77" s="199">
        <v>0</v>
      </c>
      <c r="J77" s="103">
        <v>0</v>
      </c>
      <c r="K77" s="200"/>
      <c r="L77" s="513"/>
      <c r="M77" s="37"/>
      <c r="N77" s="3"/>
    </row>
    <row r="78" spans="1:14" s="4" customFormat="1" ht="13.5" customHeight="1" hidden="1">
      <c r="A78" s="463"/>
      <c r="B78" s="496"/>
      <c r="C78" s="201" t="s">
        <v>9</v>
      </c>
      <c r="D78" s="498"/>
      <c r="E78" s="202">
        <f t="shared" si="4"/>
        <v>0</v>
      </c>
      <c r="F78" s="203">
        <v>0</v>
      </c>
      <c r="G78" s="203">
        <v>0</v>
      </c>
      <c r="H78" s="203">
        <v>0</v>
      </c>
      <c r="I78" s="203">
        <v>0</v>
      </c>
      <c r="J78" s="204">
        <v>0</v>
      </c>
      <c r="K78" s="200"/>
      <c r="L78" s="513"/>
      <c r="M78" s="37"/>
      <c r="N78" s="3"/>
    </row>
    <row r="79" spans="1:14" s="4" customFormat="1" ht="25.5" customHeight="1" hidden="1">
      <c r="A79" s="464"/>
      <c r="B79" s="497"/>
      <c r="C79" s="201" t="s">
        <v>10</v>
      </c>
      <c r="D79" s="499"/>
      <c r="E79" s="205">
        <f t="shared" si="4"/>
        <v>0</v>
      </c>
      <c r="F79" s="206">
        <v>0</v>
      </c>
      <c r="G79" s="206">
        <v>0</v>
      </c>
      <c r="H79" s="206">
        <v>0</v>
      </c>
      <c r="I79" s="206">
        <v>0</v>
      </c>
      <c r="J79" s="107">
        <v>0</v>
      </c>
      <c r="K79" s="200"/>
      <c r="L79" s="513"/>
      <c r="M79" s="37"/>
      <c r="N79" s="3"/>
    </row>
    <row r="80" spans="1:14" s="4" customFormat="1" ht="13.5" customHeight="1" hidden="1">
      <c r="A80" s="462"/>
      <c r="B80" s="495" t="s">
        <v>58</v>
      </c>
      <c r="C80" s="196" t="s">
        <v>8</v>
      </c>
      <c r="D80" s="500" t="s">
        <v>88</v>
      </c>
      <c r="E80" s="197">
        <f t="shared" si="4"/>
        <v>0</v>
      </c>
      <c r="F80" s="197">
        <v>0</v>
      </c>
      <c r="G80" s="197">
        <v>0</v>
      </c>
      <c r="H80" s="197">
        <v>0</v>
      </c>
      <c r="I80" s="198">
        <v>0</v>
      </c>
      <c r="J80" s="85">
        <v>0</v>
      </c>
      <c r="K80" s="200"/>
      <c r="L80" s="513"/>
      <c r="M80" s="37"/>
      <c r="N80" s="3"/>
    </row>
    <row r="81" spans="1:14" s="4" customFormat="1" ht="13.5" customHeight="1" hidden="1">
      <c r="A81" s="463"/>
      <c r="B81" s="496"/>
      <c r="C81" s="201" t="s">
        <v>9</v>
      </c>
      <c r="D81" s="498"/>
      <c r="E81" s="202">
        <f t="shared" si="4"/>
        <v>0</v>
      </c>
      <c r="F81" s="203">
        <v>0</v>
      </c>
      <c r="G81" s="203">
        <v>0</v>
      </c>
      <c r="H81" s="203">
        <v>0</v>
      </c>
      <c r="I81" s="203">
        <v>0</v>
      </c>
      <c r="J81" s="204">
        <v>0</v>
      </c>
      <c r="K81" s="200"/>
      <c r="L81" s="513"/>
      <c r="M81" s="37"/>
      <c r="N81" s="3"/>
    </row>
    <row r="82" spans="1:14" s="4" customFormat="1" ht="26.25" customHeight="1" hidden="1">
      <c r="A82" s="464"/>
      <c r="B82" s="497"/>
      <c r="C82" s="201" t="s">
        <v>10</v>
      </c>
      <c r="D82" s="498"/>
      <c r="E82" s="205">
        <f t="shared" si="4"/>
        <v>0</v>
      </c>
      <c r="F82" s="205">
        <v>0</v>
      </c>
      <c r="G82" s="207">
        <v>0</v>
      </c>
      <c r="H82" s="205">
        <v>0</v>
      </c>
      <c r="I82" s="207">
        <v>0</v>
      </c>
      <c r="J82" s="107">
        <v>0</v>
      </c>
      <c r="K82" s="200"/>
      <c r="L82" s="513"/>
      <c r="M82" s="37"/>
      <c r="N82" s="3"/>
    </row>
    <row r="83" spans="1:14" s="4" customFormat="1" ht="13.5" customHeight="1">
      <c r="A83" s="404" t="s">
        <v>101</v>
      </c>
      <c r="B83" s="407" t="s">
        <v>160</v>
      </c>
      <c r="C83" s="66" t="s">
        <v>8</v>
      </c>
      <c r="D83" s="487">
        <f>E83+E84+E85</f>
        <v>1197322</v>
      </c>
      <c r="E83" s="67">
        <f t="shared" si="4"/>
        <v>1197322</v>
      </c>
      <c r="F83" s="208">
        <v>0</v>
      </c>
      <c r="G83" s="69">
        <v>0</v>
      </c>
      <c r="H83" s="70">
        <v>0</v>
      </c>
      <c r="I83" s="69">
        <v>1197322</v>
      </c>
      <c r="J83" s="70">
        <v>0</v>
      </c>
      <c r="K83" s="162"/>
      <c r="L83" s="513"/>
      <c r="M83" s="37"/>
      <c r="N83" s="3"/>
    </row>
    <row r="84" spans="1:14" s="4" customFormat="1" ht="13.5" customHeight="1">
      <c r="A84" s="405"/>
      <c r="B84" s="408"/>
      <c r="C84" s="72" t="s">
        <v>9</v>
      </c>
      <c r="D84" s="488"/>
      <c r="E84" s="73">
        <f t="shared" si="4"/>
        <v>0</v>
      </c>
      <c r="F84" s="192">
        <v>0</v>
      </c>
      <c r="G84" s="75">
        <v>0</v>
      </c>
      <c r="H84" s="76">
        <v>0</v>
      </c>
      <c r="I84" s="75">
        <v>0</v>
      </c>
      <c r="J84" s="76">
        <v>0</v>
      </c>
      <c r="K84" s="166"/>
      <c r="L84" s="513"/>
      <c r="M84" s="37"/>
      <c r="N84" s="3"/>
    </row>
    <row r="85" spans="1:14" s="4" customFormat="1" ht="15.75" customHeight="1" thickBot="1">
      <c r="A85" s="406"/>
      <c r="B85" s="409"/>
      <c r="C85" s="78" t="s">
        <v>10</v>
      </c>
      <c r="D85" s="489"/>
      <c r="E85" s="79">
        <f t="shared" si="4"/>
        <v>0</v>
      </c>
      <c r="F85" s="209">
        <v>0</v>
      </c>
      <c r="G85" s="80">
        <v>0</v>
      </c>
      <c r="H85" s="157">
        <v>0</v>
      </c>
      <c r="I85" s="80">
        <v>0</v>
      </c>
      <c r="J85" s="157">
        <v>0</v>
      </c>
      <c r="K85" s="195"/>
      <c r="L85" s="513"/>
      <c r="M85" s="37"/>
      <c r="N85" s="3"/>
    </row>
    <row r="86" spans="1:14" s="4" customFormat="1" ht="13.5" customHeight="1">
      <c r="A86" s="404" t="s">
        <v>102</v>
      </c>
      <c r="B86" s="407" t="s">
        <v>52</v>
      </c>
      <c r="C86" s="66" t="s">
        <v>8</v>
      </c>
      <c r="D86" s="487">
        <v>73200</v>
      </c>
      <c r="E86" s="148">
        <f t="shared" si="4"/>
        <v>73241</v>
      </c>
      <c r="F86" s="162">
        <v>73241</v>
      </c>
      <c r="G86" s="160">
        <v>0</v>
      </c>
      <c r="H86" s="159">
        <v>0</v>
      </c>
      <c r="I86" s="160">
        <v>0</v>
      </c>
      <c r="J86" s="159">
        <v>0</v>
      </c>
      <c r="K86" s="162"/>
      <c r="L86" s="513"/>
      <c r="M86" s="37"/>
      <c r="N86" s="3"/>
    </row>
    <row r="87" spans="1:14" s="4" customFormat="1" ht="12.75">
      <c r="A87" s="405"/>
      <c r="B87" s="408"/>
      <c r="C87" s="72" t="s">
        <v>9</v>
      </c>
      <c r="D87" s="488"/>
      <c r="E87" s="151">
        <f t="shared" si="4"/>
        <v>61181</v>
      </c>
      <c r="F87" s="152">
        <v>0</v>
      </c>
      <c r="G87" s="164">
        <f>61181</f>
        <v>61181</v>
      </c>
      <c r="H87" s="151">
        <v>0</v>
      </c>
      <c r="I87" s="164">
        <v>0</v>
      </c>
      <c r="J87" s="151">
        <v>0</v>
      </c>
      <c r="K87" s="166"/>
      <c r="L87" s="513"/>
      <c r="M87" s="37"/>
      <c r="N87" s="3"/>
    </row>
    <row r="88" spans="1:15" s="4" customFormat="1" ht="13.5" thickBot="1">
      <c r="A88" s="406"/>
      <c r="B88" s="409"/>
      <c r="C88" s="78" t="s">
        <v>10</v>
      </c>
      <c r="D88" s="489"/>
      <c r="E88" s="189">
        <f t="shared" si="4"/>
        <v>0</v>
      </c>
      <c r="F88" s="169">
        <v>0</v>
      </c>
      <c r="G88" s="170">
        <v>0</v>
      </c>
      <c r="H88" s="168">
        <v>0</v>
      </c>
      <c r="I88" s="170">
        <v>0</v>
      </c>
      <c r="J88" s="168">
        <v>0</v>
      </c>
      <c r="K88" s="195"/>
      <c r="L88" s="513"/>
      <c r="M88" s="39"/>
      <c r="N88" s="26"/>
      <c r="O88" s="28"/>
    </row>
    <row r="89" spans="1:15" s="4" customFormat="1" ht="12.75" customHeight="1">
      <c r="A89" s="404" t="s">
        <v>103</v>
      </c>
      <c r="B89" s="407" t="s">
        <v>142</v>
      </c>
      <c r="C89" s="66" t="s">
        <v>8</v>
      </c>
      <c r="D89" s="487">
        <v>238068.46</v>
      </c>
      <c r="E89" s="210"/>
      <c r="F89" s="174">
        <v>0</v>
      </c>
      <c r="G89" s="175">
        <v>0</v>
      </c>
      <c r="H89" s="211">
        <f>ROUND((246582)*5/100,2)</f>
        <v>12329.1</v>
      </c>
      <c r="I89" s="212">
        <v>8332.4</v>
      </c>
      <c r="J89" s="213">
        <v>0</v>
      </c>
      <c r="K89" s="214"/>
      <c r="L89" s="513"/>
      <c r="M89" s="39"/>
      <c r="N89" s="26"/>
      <c r="O89" s="28"/>
    </row>
    <row r="90" spans="1:15" s="4" customFormat="1" ht="12.75">
      <c r="A90" s="405"/>
      <c r="B90" s="408"/>
      <c r="C90" s="72" t="s">
        <v>9</v>
      </c>
      <c r="D90" s="488"/>
      <c r="E90" s="210"/>
      <c r="F90" s="215">
        <v>0</v>
      </c>
      <c r="G90" s="144">
        <v>0</v>
      </c>
      <c r="H90" s="216">
        <f>ROUND((246582)*95/100,2)</f>
        <v>234252.9</v>
      </c>
      <c r="I90" s="73">
        <v>158315.53</v>
      </c>
      <c r="J90" s="192">
        <v>0</v>
      </c>
      <c r="K90" s="217"/>
      <c r="L90" s="513"/>
      <c r="M90" s="40"/>
      <c r="N90" s="29"/>
      <c r="O90" s="51"/>
    </row>
    <row r="91" spans="1:16" s="4" customFormat="1" ht="13.5" thickBot="1">
      <c r="A91" s="406"/>
      <c r="B91" s="409"/>
      <c r="C91" s="78" t="s">
        <v>10</v>
      </c>
      <c r="D91" s="489"/>
      <c r="E91" s="210"/>
      <c r="F91" s="218">
        <v>0</v>
      </c>
      <c r="G91" s="219">
        <v>0</v>
      </c>
      <c r="H91" s="220">
        <v>0</v>
      </c>
      <c r="I91" s="221">
        <v>0</v>
      </c>
      <c r="J91" s="222">
        <v>0</v>
      </c>
      <c r="K91" s="223"/>
      <c r="L91" s="513"/>
      <c r="M91" s="39"/>
      <c r="N91" s="29"/>
      <c r="O91" s="51"/>
      <c r="P91" s="23"/>
    </row>
    <row r="92" spans="1:15" ht="13.5" customHeight="1">
      <c r="A92" s="392" t="s">
        <v>104</v>
      </c>
      <c r="B92" s="407" t="s">
        <v>62</v>
      </c>
      <c r="C92" s="66" t="s">
        <v>8</v>
      </c>
      <c r="D92" s="487">
        <f>E92+E93+E94</f>
        <v>6056950</v>
      </c>
      <c r="E92" s="148">
        <f t="shared" si="4"/>
        <v>302850</v>
      </c>
      <c r="F92" s="224">
        <v>0</v>
      </c>
      <c r="G92" s="225">
        <v>302850</v>
      </c>
      <c r="H92" s="160">
        <v>0</v>
      </c>
      <c r="I92" s="160">
        <v>0</v>
      </c>
      <c r="J92" s="187">
        <v>0</v>
      </c>
      <c r="K92" s="166"/>
      <c r="L92" s="513"/>
      <c r="M92" s="40"/>
      <c r="N92" s="42"/>
      <c r="O92" s="43"/>
    </row>
    <row r="93" spans="1:16" ht="12.75">
      <c r="A93" s="393"/>
      <c r="B93" s="408"/>
      <c r="C93" s="72" t="s">
        <v>9</v>
      </c>
      <c r="D93" s="488"/>
      <c r="E93" s="151">
        <f t="shared" si="4"/>
        <v>5754100</v>
      </c>
      <c r="F93" s="226">
        <v>0</v>
      </c>
      <c r="G93" s="187">
        <v>5754100</v>
      </c>
      <c r="H93" s="164">
        <v>0</v>
      </c>
      <c r="I93" s="164">
        <v>0</v>
      </c>
      <c r="J93" s="151">
        <v>0</v>
      </c>
      <c r="K93" s="166"/>
      <c r="L93" s="513"/>
      <c r="M93" s="39"/>
      <c r="N93" s="42"/>
      <c r="O93" s="43"/>
      <c r="P93" s="19"/>
    </row>
    <row r="94" spans="1:15" ht="13.5" customHeight="1" thickBot="1">
      <c r="A94" s="394"/>
      <c r="B94" s="409"/>
      <c r="C94" s="78" t="s">
        <v>10</v>
      </c>
      <c r="D94" s="489"/>
      <c r="E94" s="189">
        <f t="shared" si="4"/>
        <v>0</v>
      </c>
      <c r="F94" s="170">
        <v>0</v>
      </c>
      <c r="G94" s="155">
        <v>0</v>
      </c>
      <c r="H94" s="170">
        <v>0</v>
      </c>
      <c r="I94" s="170">
        <v>0</v>
      </c>
      <c r="J94" s="155">
        <v>0</v>
      </c>
      <c r="K94" s="172"/>
      <c r="L94" s="513"/>
      <c r="M94" s="40"/>
      <c r="N94" s="48"/>
      <c r="O94" s="43"/>
    </row>
    <row r="95" spans="1:15" ht="13.5" customHeight="1">
      <c r="A95" s="392" t="s">
        <v>105</v>
      </c>
      <c r="B95" s="407" t="s">
        <v>55</v>
      </c>
      <c r="C95" s="66" t="s">
        <v>8</v>
      </c>
      <c r="D95" s="487">
        <f>E95+E96+E97</f>
        <v>878000</v>
      </c>
      <c r="E95" s="148">
        <f t="shared" si="4"/>
        <v>878000</v>
      </c>
      <c r="F95" s="160">
        <v>0</v>
      </c>
      <c r="G95" s="160">
        <v>878000</v>
      </c>
      <c r="H95" s="159">
        <v>0</v>
      </c>
      <c r="I95" s="160">
        <v>0</v>
      </c>
      <c r="J95" s="159">
        <v>0</v>
      </c>
      <c r="K95" s="162"/>
      <c r="L95" s="513"/>
      <c r="M95" s="40"/>
      <c r="N95" s="48"/>
      <c r="O95" s="43"/>
    </row>
    <row r="96" spans="1:16" ht="13.5" customHeight="1">
      <c r="A96" s="393"/>
      <c r="B96" s="408"/>
      <c r="C96" s="72" t="s">
        <v>9</v>
      </c>
      <c r="D96" s="488"/>
      <c r="E96" s="151">
        <f t="shared" si="4"/>
        <v>0</v>
      </c>
      <c r="F96" s="164">
        <v>0</v>
      </c>
      <c r="G96" s="164">
        <v>0</v>
      </c>
      <c r="H96" s="151">
        <v>0</v>
      </c>
      <c r="I96" s="164">
        <v>0</v>
      </c>
      <c r="J96" s="151">
        <v>0</v>
      </c>
      <c r="K96" s="166"/>
      <c r="L96" s="513"/>
      <c r="M96" s="39"/>
      <c r="N96" s="48"/>
      <c r="O96" s="43"/>
      <c r="P96" s="19"/>
    </row>
    <row r="97" spans="1:15" ht="14.25" customHeight="1" thickBot="1">
      <c r="A97" s="394"/>
      <c r="B97" s="409"/>
      <c r="C97" s="78" t="s">
        <v>10</v>
      </c>
      <c r="D97" s="489"/>
      <c r="E97" s="189">
        <f t="shared" si="4"/>
        <v>0</v>
      </c>
      <c r="F97" s="170">
        <v>0</v>
      </c>
      <c r="G97" s="170">
        <v>0</v>
      </c>
      <c r="H97" s="168">
        <v>0</v>
      </c>
      <c r="I97" s="170">
        <v>0</v>
      </c>
      <c r="J97" s="168">
        <v>0</v>
      </c>
      <c r="K97" s="195"/>
      <c r="L97" s="513"/>
      <c r="M97" s="39"/>
      <c r="N97" s="48"/>
      <c r="O97" s="43"/>
    </row>
    <row r="98" spans="1:15" ht="13.5" customHeight="1" hidden="1">
      <c r="A98" s="392" t="s">
        <v>106</v>
      </c>
      <c r="B98" s="407" t="s">
        <v>56</v>
      </c>
      <c r="C98" s="135" t="s">
        <v>8</v>
      </c>
      <c r="D98" s="494">
        <f>E98+E99+E100</f>
        <v>0</v>
      </c>
      <c r="E98" s="136">
        <f t="shared" si="4"/>
        <v>0</v>
      </c>
      <c r="F98" s="137">
        <v>0</v>
      </c>
      <c r="G98" s="137">
        <v>0</v>
      </c>
      <c r="H98" s="137">
        <v>0</v>
      </c>
      <c r="I98" s="137">
        <v>0</v>
      </c>
      <c r="J98" s="227">
        <v>0</v>
      </c>
      <c r="K98" s="191"/>
      <c r="L98" s="513"/>
      <c r="M98" s="39"/>
      <c r="N98" s="48"/>
      <c r="O98" s="43"/>
    </row>
    <row r="99" spans="1:15" ht="13.5" customHeight="1" hidden="1">
      <c r="A99" s="393"/>
      <c r="B99" s="408"/>
      <c r="C99" s="139" t="s">
        <v>9</v>
      </c>
      <c r="D99" s="494"/>
      <c r="E99" s="140">
        <f t="shared" si="4"/>
        <v>0</v>
      </c>
      <c r="F99" s="141">
        <v>0</v>
      </c>
      <c r="G99" s="141">
        <v>0</v>
      </c>
      <c r="H99" s="138">
        <v>0</v>
      </c>
      <c r="I99" s="141">
        <v>0</v>
      </c>
      <c r="J99" s="228">
        <v>0</v>
      </c>
      <c r="K99" s="191"/>
      <c r="L99" s="513"/>
      <c r="M99" s="39"/>
      <c r="N99" s="48"/>
      <c r="O99" s="43"/>
    </row>
    <row r="100" spans="1:15" ht="13.5" customHeight="1" hidden="1">
      <c r="A100" s="394"/>
      <c r="B100" s="409"/>
      <c r="C100" s="142" t="s">
        <v>10</v>
      </c>
      <c r="D100" s="494"/>
      <c r="E100" s="143">
        <f t="shared" si="4"/>
        <v>0</v>
      </c>
      <c r="F100" s="141">
        <v>0</v>
      </c>
      <c r="G100" s="141">
        <v>0</v>
      </c>
      <c r="H100" s="138">
        <v>0</v>
      </c>
      <c r="I100" s="145">
        <v>0</v>
      </c>
      <c r="J100" s="229">
        <v>0</v>
      </c>
      <c r="K100" s="230"/>
      <c r="L100" s="513"/>
      <c r="M100" s="39"/>
      <c r="N100" s="48"/>
      <c r="O100" s="43"/>
    </row>
    <row r="101" spans="1:16" ht="13.5" customHeight="1">
      <c r="A101" s="392" t="s">
        <v>106</v>
      </c>
      <c r="B101" s="407" t="s">
        <v>59</v>
      </c>
      <c r="C101" s="66" t="s">
        <v>8</v>
      </c>
      <c r="D101" s="487">
        <v>2364000</v>
      </c>
      <c r="E101" s="67">
        <f aca="true" t="shared" si="6" ref="E101:E133">SUM(F101:J101)</f>
        <v>7742754.5</v>
      </c>
      <c r="F101" s="138">
        <v>0</v>
      </c>
      <c r="G101" s="138">
        <v>0</v>
      </c>
      <c r="H101" s="138">
        <v>0</v>
      </c>
      <c r="I101" s="138">
        <v>0</v>
      </c>
      <c r="J101" s="68">
        <v>7742754.5</v>
      </c>
      <c r="K101" s="373" t="s">
        <v>154</v>
      </c>
      <c r="L101" s="513"/>
      <c r="M101" s="40"/>
      <c r="N101" s="48"/>
      <c r="O101" s="43"/>
      <c r="P101" s="19"/>
    </row>
    <row r="102" spans="1:16" ht="13.5" customHeight="1">
      <c r="A102" s="393"/>
      <c r="B102" s="408"/>
      <c r="C102" s="72" t="s">
        <v>9</v>
      </c>
      <c r="D102" s="488"/>
      <c r="E102" s="73">
        <f t="shared" si="6"/>
        <v>0</v>
      </c>
      <c r="F102" s="141">
        <v>0</v>
      </c>
      <c r="G102" s="141">
        <v>0</v>
      </c>
      <c r="H102" s="141">
        <v>0</v>
      </c>
      <c r="I102" s="141">
        <v>0</v>
      </c>
      <c r="J102" s="74">
        <v>0</v>
      </c>
      <c r="K102" s="374"/>
      <c r="L102" s="513"/>
      <c r="M102" s="39"/>
      <c r="N102" s="48"/>
      <c r="O102" s="43"/>
      <c r="P102" s="19"/>
    </row>
    <row r="103" spans="1:16" ht="16.5" customHeight="1" thickBot="1">
      <c r="A103" s="394"/>
      <c r="B103" s="409"/>
      <c r="C103" s="78" t="s">
        <v>10</v>
      </c>
      <c r="D103" s="489"/>
      <c r="E103" s="79">
        <f t="shared" si="6"/>
        <v>0</v>
      </c>
      <c r="F103" s="141">
        <v>0</v>
      </c>
      <c r="G103" s="141">
        <v>0</v>
      </c>
      <c r="H103" s="145">
        <v>0</v>
      </c>
      <c r="I103" s="145">
        <v>0</v>
      </c>
      <c r="J103" s="115">
        <v>0</v>
      </c>
      <c r="K103" s="375"/>
      <c r="L103" s="513"/>
      <c r="M103" s="40"/>
      <c r="N103" s="42"/>
      <c r="O103" s="43"/>
      <c r="P103" s="19"/>
    </row>
    <row r="104" spans="1:16" ht="13.5" customHeight="1">
      <c r="A104" s="392" t="s">
        <v>107</v>
      </c>
      <c r="B104" s="407" t="s">
        <v>60</v>
      </c>
      <c r="C104" s="66" t="s">
        <v>8</v>
      </c>
      <c r="D104" s="487">
        <f>E104+E105+E106</f>
        <v>2500000</v>
      </c>
      <c r="E104" s="67">
        <f t="shared" si="6"/>
        <v>2500000</v>
      </c>
      <c r="F104" s="138">
        <v>0</v>
      </c>
      <c r="G104" s="138">
        <v>0</v>
      </c>
      <c r="H104" s="138">
        <v>2500000</v>
      </c>
      <c r="I104" s="138">
        <v>0</v>
      </c>
      <c r="J104" s="68">
        <v>0</v>
      </c>
      <c r="K104" s="71"/>
      <c r="L104" s="513"/>
      <c r="M104" s="40"/>
      <c r="N104" s="48"/>
      <c r="O104" s="43"/>
      <c r="P104" s="19"/>
    </row>
    <row r="105" spans="1:15" ht="13.5" customHeight="1">
      <c r="A105" s="393"/>
      <c r="B105" s="408"/>
      <c r="C105" s="72" t="s">
        <v>9</v>
      </c>
      <c r="D105" s="488"/>
      <c r="E105" s="73">
        <f t="shared" si="6"/>
        <v>0</v>
      </c>
      <c r="F105" s="141">
        <v>0</v>
      </c>
      <c r="G105" s="141">
        <v>0</v>
      </c>
      <c r="H105" s="141">
        <v>0</v>
      </c>
      <c r="I105" s="141">
        <v>0</v>
      </c>
      <c r="J105" s="74">
        <v>0</v>
      </c>
      <c r="K105" s="77"/>
      <c r="L105" s="513"/>
      <c r="M105" s="39"/>
      <c r="N105" s="48"/>
      <c r="O105" s="43"/>
    </row>
    <row r="106" spans="1:15" ht="11.25" customHeight="1" thickBot="1">
      <c r="A106" s="394"/>
      <c r="B106" s="409"/>
      <c r="C106" s="78" t="s">
        <v>10</v>
      </c>
      <c r="D106" s="489"/>
      <c r="E106" s="79">
        <f t="shared" si="6"/>
        <v>0</v>
      </c>
      <c r="F106" s="141">
        <v>0</v>
      </c>
      <c r="G106" s="141">
        <v>0</v>
      </c>
      <c r="H106" s="145">
        <v>0</v>
      </c>
      <c r="I106" s="145">
        <v>0</v>
      </c>
      <c r="J106" s="115">
        <v>0</v>
      </c>
      <c r="K106" s="82"/>
      <c r="L106" s="513"/>
      <c r="M106" s="39"/>
      <c r="N106" s="48"/>
      <c r="O106" s="44"/>
    </row>
    <row r="107" spans="1:15" ht="13.5" customHeight="1">
      <c r="A107" s="392" t="s">
        <v>108</v>
      </c>
      <c r="B107" s="407" t="s">
        <v>61</v>
      </c>
      <c r="C107" s="66" t="s">
        <v>8</v>
      </c>
      <c r="D107" s="487">
        <f>E107+E108+E109</f>
        <v>2472193.89</v>
      </c>
      <c r="E107" s="67">
        <f t="shared" si="6"/>
        <v>2472193.89</v>
      </c>
      <c r="F107" s="138">
        <v>0</v>
      </c>
      <c r="G107" s="138">
        <v>0</v>
      </c>
      <c r="H107" s="138">
        <f>2000000+282100+119.89-99052.02+289026.02</f>
        <v>2472193.89</v>
      </c>
      <c r="I107" s="138">
        <v>0</v>
      </c>
      <c r="J107" s="68">
        <v>0</v>
      </c>
      <c r="K107" s="231"/>
      <c r="L107" s="513"/>
      <c r="M107" s="39"/>
      <c r="N107" s="42"/>
      <c r="O107" s="43"/>
    </row>
    <row r="108" spans="1:15" ht="13.5" customHeight="1">
      <c r="A108" s="393"/>
      <c r="B108" s="408"/>
      <c r="C108" s="72" t="s">
        <v>9</v>
      </c>
      <c r="D108" s="488"/>
      <c r="E108" s="73">
        <f t="shared" si="6"/>
        <v>0</v>
      </c>
      <c r="F108" s="141">
        <v>0</v>
      </c>
      <c r="G108" s="141">
        <v>0</v>
      </c>
      <c r="H108" s="141">
        <v>0</v>
      </c>
      <c r="I108" s="141">
        <v>0</v>
      </c>
      <c r="J108" s="74">
        <v>0</v>
      </c>
      <c r="K108" s="77"/>
      <c r="L108" s="513"/>
      <c r="M108" s="39"/>
      <c r="N108" s="48"/>
      <c r="O108" s="43"/>
    </row>
    <row r="109" spans="1:15" ht="11.25" customHeight="1" thickBot="1">
      <c r="A109" s="394"/>
      <c r="B109" s="409"/>
      <c r="C109" s="78" t="s">
        <v>10</v>
      </c>
      <c r="D109" s="489"/>
      <c r="E109" s="79">
        <f t="shared" si="6"/>
        <v>0</v>
      </c>
      <c r="F109" s="141">
        <v>0</v>
      </c>
      <c r="G109" s="141">
        <v>0</v>
      </c>
      <c r="H109" s="145">
        <v>0</v>
      </c>
      <c r="I109" s="145">
        <v>0</v>
      </c>
      <c r="J109" s="115">
        <v>0</v>
      </c>
      <c r="K109" s="82"/>
      <c r="L109" s="513"/>
      <c r="M109" s="39"/>
      <c r="N109" s="48"/>
      <c r="O109" s="43"/>
    </row>
    <row r="110" spans="1:15" ht="11.25" customHeight="1">
      <c r="A110" s="392" t="s">
        <v>109</v>
      </c>
      <c r="B110" s="454" t="s">
        <v>118</v>
      </c>
      <c r="C110" s="66" t="s">
        <v>8</v>
      </c>
      <c r="D110" s="389">
        <f>H110+H111</f>
        <v>930683.5800000001</v>
      </c>
      <c r="E110" s="67">
        <f t="shared" si="6"/>
        <v>46534.18</v>
      </c>
      <c r="F110" s="138">
        <v>0</v>
      </c>
      <c r="G110" s="138">
        <v>0</v>
      </c>
      <c r="H110" s="232">
        <f>ROUND((923922+6761.58)*5/100,2)</f>
        <v>46534.18</v>
      </c>
      <c r="I110" s="138">
        <v>0</v>
      </c>
      <c r="J110" s="68">
        <v>0</v>
      </c>
      <c r="K110" s="231"/>
      <c r="L110" s="513"/>
      <c r="M110" s="40"/>
      <c r="N110" s="42"/>
      <c r="O110" s="43"/>
    </row>
    <row r="111" spans="1:17" ht="11.25" customHeight="1">
      <c r="A111" s="393"/>
      <c r="B111" s="455"/>
      <c r="C111" s="72" t="s">
        <v>9</v>
      </c>
      <c r="D111" s="390"/>
      <c r="E111" s="73">
        <f t="shared" si="6"/>
        <v>884149.4</v>
      </c>
      <c r="F111" s="141">
        <v>0</v>
      </c>
      <c r="G111" s="141">
        <v>0</v>
      </c>
      <c r="H111" s="233">
        <f>ROUND((923922+6761.58)*95/100,2)</f>
        <v>884149.4</v>
      </c>
      <c r="I111" s="141">
        <v>0</v>
      </c>
      <c r="J111" s="74">
        <v>0</v>
      </c>
      <c r="K111" s="77"/>
      <c r="L111" s="513"/>
      <c r="M111" s="40"/>
      <c r="N111" s="42"/>
      <c r="O111" s="43"/>
      <c r="Q111" s="19"/>
    </row>
    <row r="112" spans="1:17" ht="11.25" customHeight="1" thickBot="1">
      <c r="A112" s="394"/>
      <c r="B112" s="490"/>
      <c r="C112" s="78" t="s">
        <v>10</v>
      </c>
      <c r="D112" s="391"/>
      <c r="E112" s="79">
        <f t="shared" si="6"/>
        <v>0</v>
      </c>
      <c r="F112" s="141">
        <v>0</v>
      </c>
      <c r="G112" s="141">
        <v>0</v>
      </c>
      <c r="H112" s="234">
        <v>0</v>
      </c>
      <c r="I112" s="145">
        <v>0</v>
      </c>
      <c r="J112" s="115">
        <v>0</v>
      </c>
      <c r="K112" s="82"/>
      <c r="L112" s="513"/>
      <c r="M112" s="40"/>
      <c r="N112" s="42"/>
      <c r="O112" s="43"/>
      <c r="Q112" s="19"/>
    </row>
    <row r="113" spans="1:19" ht="11.25" customHeight="1">
      <c r="A113" s="392" t="s">
        <v>110</v>
      </c>
      <c r="B113" s="454" t="s">
        <v>119</v>
      </c>
      <c r="C113" s="66" t="s">
        <v>8</v>
      </c>
      <c r="D113" s="389">
        <f>H113+H114</f>
        <v>266130.91</v>
      </c>
      <c r="E113" s="67">
        <f t="shared" si="6"/>
        <v>13306.55</v>
      </c>
      <c r="F113" s="138">
        <v>0</v>
      </c>
      <c r="G113" s="138">
        <v>0</v>
      </c>
      <c r="H113" s="232">
        <f>ROUND((263189+2941.9)*5/100,2)</f>
        <v>13306.55</v>
      </c>
      <c r="I113" s="138">
        <v>0</v>
      </c>
      <c r="J113" s="68">
        <v>0</v>
      </c>
      <c r="K113" s="231"/>
      <c r="L113" s="513"/>
      <c r="M113" s="40"/>
      <c r="N113" s="42"/>
      <c r="O113" s="43"/>
      <c r="P113" s="43"/>
      <c r="Q113" s="43"/>
      <c r="R113" s="43"/>
      <c r="S113" s="43"/>
    </row>
    <row r="114" spans="1:19" ht="11.25" customHeight="1">
      <c r="A114" s="393"/>
      <c r="B114" s="455"/>
      <c r="C114" s="72" t="s">
        <v>9</v>
      </c>
      <c r="D114" s="390"/>
      <c r="E114" s="73">
        <f t="shared" si="6"/>
        <v>252824.36</v>
      </c>
      <c r="F114" s="141">
        <v>0</v>
      </c>
      <c r="G114" s="141">
        <v>0</v>
      </c>
      <c r="H114" s="233">
        <f>ROUND((263189+2941.9)*95/100,2)</f>
        <v>252824.36</v>
      </c>
      <c r="I114" s="141">
        <v>0</v>
      </c>
      <c r="J114" s="74">
        <v>0</v>
      </c>
      <c r="K114" s="77"/>
      <c r="L114" s="513"/>
      <c r="M114" s="40"/>
      <c r="N114" s="42"/>
      <c r="O114" s="44"/>
      <c r="P114" s="44"/>
      <c r="Q114" s="43"/>
      <c r="R114" s="43"/>
      <c r="S114" s="43"/>
    </row>
    <row r="115" spans="1:19" ht="11.25" customHeight="1" thickBot="1">
      <c r="A115" s="394"/>
      <c r="B115" s="490"/>
      <c r="C115" s="78" t="s">
        <v>10</v>
      </c>
      <c r="D115" s="391"/>
      <c r="E115" s="79">
        <f t="shared" si="6"/>
        <v>0</v>
      </c>
      <c r="F115" s="141">
        <v>0</v>
      </c>
      <c r="G115" s="141">
        <v>0</v>
      </c>
      <c r="H115" s="234">
        <v>0</v>
      </c>
      <c r="I115" s="145">
        <v>0</v>
      </c>
      <c r="J115" s="115">
        <v>0</v>
      </c>
      <c r="K115" s="82"/>
      <c r="L115" s="513"/>
      <c r="M115" s="40"/>
      <c r="N115" s="42"/>
      <c r="O115" s="43"/>
      <c r="P115" s="44"/>
      <c r="Q115" s="43"/>
      <c r="R115" s="43"/>
      <c r="S115" s="43"/>
    </row>
    <row r="116" spans="1:19" ht="11.25" customHeight="1">
      <c r="A116" s="392" t="s">
        <v>111</v>
      </c>
      <c r="B116" s="454" t="s">
        <v>120</v>
      </c>
      <c r="C116" s="66" t="s">
        <v>8</v>
      </c>
      <c r="D116" s="389">
        <f>H116+H117</f>
        <v>288419.18</v>
      </c>
      <c r="E116" s="67">
        <f t="shared" si="6"/>
        <v>14420.96</v>
      </c>
      <c r="F116" s="138">
        <v>0</v>
      </c>
      <c r="G116" s="138">
        <v>0</v>
      </c>
      <c r="H116" s="232">
        <f>ROUND((281306+7113.18)*5/100,2)</f>
        <v>14420.96</v>
      </c>
      <c r="I116" s="138">
        <v>0</v>
      </c>
      <c r="J116" s="68">
        <v>0</v>
      </c>
      <c r="K116" s="231"/>
      <c r="L116" s="513"/>
      <c r="M116" s="40"/>
      <c r="N116" s="42"/>
      <c r="O116" s="43"/>
      <c r="P116" s="43"/>
      <c r="Q116" s="43"/>
      <c r="R116" s="43"/>
      <c r="S116" s="43"/>
    </row>
    <row r="117" spans="1:19" ht="11.25" customHeight="1">
      <c r="A117" s="393"/>
      <c r="B117" s="455"/>
      <c r="C117" s="72" t="s">
        <v>9</v>
      </c>
      <c r="D117" s="390"/>
      <c r="E117" s="73">
        <f t="shared" si="6"/>
        <v>273998.22</v>
      </c>
      <c r="F117" s="141">
        <v>0</v>
      </c>
      <c r="G117" s="141">
        <v>0</v>
      </c>
      <c r="H117" s="233">
        <f>ROUND((281306+7113.18)*95/100,2)</f>
        <v>273998.22</v>
      </c>
      <c r="I117" s="141">
        <v>0</v>
      </c>
      <c r="J117" s="74">
        <v>0</v>
      </c>
      <c r="K117" s="77"/>
      <c r="L117" s="513"/>
      <c r="M117" s="40"/>
      <c r="N117" s="42"/>
      <c r="O117" s="44"/>
      <c r="P117" s="44"/>
      <c r="Q117" s="43"/>
      <c r="R117" s="43"/>
      <c r="S117" s="43"/>
    </row>
    <row r="118" spans="1:19" ht="11.25" customHeight="1" thickBot="1">
      <c r="A118" s="394"/>
      <c r="B118" s="490"/>
      <c r="C118" s="78" t="s">
        <v>10</v>
      </c>
      <c r="D118" s="391"/>
      <c r="E118" s="79">
        <f t="shared" si="6"/>
        <v>0</v>
      </c>
      <c r="F118" s="141">
        <v>0</v>
      </c>
      <c r="G118" s="141">
        <v>0</v>
      </c>
      <c r="H118" s="234">
        <v>0</v>
      </c>
      <c r="I118" s="145">
        <v>0</v>
      </c>
      <c r="J118" s="115">
        <v>0</v>
      </c>
      <c r="K118" s="82"/>
      <c r="L118" s="513"/>
      <c r="M118" s="39"/>
      <c r="N118" s="42"/>
      <c r="O118" s="43"/>
      <c r="P118" s="43"/>
      <c r="Q118" s="43"/>
      <c r="R118" s="43"/>
      <c r="S118" s="43"/>
    </row>
    <row r="119" spans="1:19" ht="11.25" customHeight="1">
      <c r="A119" s="392" t="s">
        <v>112</v>
      </c>
      <c r="B119" s="454" t="s">
        <v>121</v>
      </c>
      <c r="C119" s="66" t="s">
        <v>8</v>
      </c>
      <c r="D119" s="389">
        <f>H119+H120</f>
        <v>2424339.15</v>
      </c>
      <c r="E119" s="67">
        <f t="shared" si="6"/>
        <v>121216.96</v>
      </c>
      <c r="F119" s="138">
        <v>0</v>
      </c>
      <c r="G119" s="138">
        <v>0</v>
      </c>
      <c r="H119" s="232">
        <f>ROUND((2379271.6+45067.55)*5/100,2)</f>
        <v>121216.96</v>
      </c>
      <c r="I119" s="138">
        <v>0</v>
      </c>
      <c r="J119" s="68">
        <v>0</v>
      </c>
      <c r="K119" s="231"/>
      <c r="L119" s="513"/>
      <c r="M119" s="40"/>
      <c r="N119" s="42"/>
      <c r="O119" s="43"/>
      <c r="P119" s="43"/>
      <c r="Q119" s="43"/>
      <c r="R119" s="43"/>
      <c r="S119" s="43"/>
    </row>
    <row r="120" spans="1:19" ht="11.25" customHeight="1">
      <c r="A120" s="393"/>
      <c r="B120" s="455"/>
      <c r="C120" s="72" t="s">
        <v>9</v>
      </c>
      <c r="D120" s="390"/>
      <c r="E120" s="73">
        <f t="shared" si="6"/>
        <v>2303122.19</v>
      </c>
      <c r="F120" s="141">
        <v>0</v>
      </c>
      <c r="G120" s="141">
        <v>0</v>
      </c>
      <c r="H120" s="233">
        <f>ROUND((2379271.6+45067.55)*95/100,2)</f>
        <v>2303122.19</v>
      </c>
      <c r="I120" s="141">
        <v>0</v>
      </c>
      <c r="J120" s="74">
        <v>0</v>
      </c>
      <c r="K120" s="77"/>
      <c r="L120" s="513"/>
      <c r="M120" s="40"/>
      <c r="N120" s="42"/>
      <c r="O120" s="43"/>
      <c r="P120" s="43"/>
      <c r="Q120" s="44"/>
      <c r="R120" s="43"/>
      <c r="S120" s="43"/>
    </row>
    <row r="121" spans="1:19" s="24" customFormat="1" ht="11.25" customHeight="1" thickBot="1">
      <c r="A121" s="394"/>
      <c r="B121" s="490"/>
      <c r="C121" s="235" t="s">
        <v>10</v>
      </c>
      <c r="D121" s="391"/>
      <c r="E121" s="236">
        <f t="shared" si="6"/>
        <v>0</v>
      </c>
      <c r="F121" s="237">
        <v>0</v>
      </c>
      <c r="G121" s="237">
        <v>0</v>
      </c>
      <c r="H121" s="238">
        <v>0</v>
      </c>
      <c r="I121" s="239">
        <v>0</v>
      </c>
      <c r="J121" s="240">
        <v>0</v>
      </c>
      <c r="K121" s="241"/>
      <c r="L121" s="513"/>
      <c r="M121" s="39"/>
      <c r="N121" s="45"/>
      <c r="O121" s="46"/>
      <c r="P121" s="45"/>
      <c r="Q121" s="45"/>
      <c r="R121" s="46"/>
      <c r="S121" s="46"/>
    </row>
    <row r="122" spans="1:19" s="24" customFormat="1" ht="11.25" customHeight="1">
      <c r="A122" s="392" t="s">
        <v>113</v>
      </c>
      <c r="B122" s="454" t="s">
        <v>123</v>
      </c>
      <c r="C122" s="66" t="s">
        <v>8</v>
      </c>
      <c r="D122" s="389">
        <f>H122+H123</f>
        <v>315512.44</v>
      </c>
      <c r="E122" s="67">
        <f t="shared" si="6"/>
        <v>15775.62</v>
      </c>
      <c r="F122" s="138">
        <v>0</v>
      </c>
      <c r="G122" s="138">
        <v>0</v>
      </c>
      <c r="H122" s="232">
        <f>ROUND((308315+7197.44)*5/100,2)</f>
        <v>15775.62</v>
      </c>
      <c r="I122" s="138">
        <v>0</v>
      </c>
      <c r="J122" s="68">
        <v>0</v>
      </c>
      <c r="K122" s="231"/>
      <c r="L122" s="513"/>
      <c r="M122" s="40"/>
      <c r="N122" s="45"/>
      <c r="O122" s="46"/>
      <c r="P122" s="46"/>
      <c r="Q122" s="46"/>
      <c r="R122" s="46"/>
      <c r="S122" s="46"/>
    </row>
    <row r="123" spans="1:19" s="24" customFormat="1" ht="11.25" customHeight="1">
      <c r="A123" s="393"/>
      <c r="B123" s="455"/>
      <c r="C123" s="72" t="s">
        <v>9</v>
      </c>
      <c r="D123" s="390"/>
      <c r="E123" s="73">
        <f t="shared" si="6"/>
        <v>299736.82</v>
      </c>
      <c r="F123" s="141">
        <v>0</v>
      </c>
      <c r="G123" s="141">
        <v>0</v>
      </c>
      <c r="H123" s="233">
        <f>ROUND((308315+7197.44)*95/100,2)</f>
        <v>299736.82</v>
      </c>
      <c r="I123" s="141">
        <v>0</v>
      </c>
      <c r="J123" s="74">
        <v>0</v>
      </c>
      <c r="K123" s="77"/>
      <c r="L123" s="513"/>
      <c r="M123" s="40"/>
      <c r="N123" s="45"/>
      <c r="O123" s="46"/>
      <c r="P123" s="45"/>
      <c r="Q123" s="46"/>
      <c r="R123" s="46"/>
      <c r="S123" s="46"/>
    </row>
    <row r="124" spans="1:19" ht="11.25" customHeight="1" thickBot="1">
      <c r="A124" s="394"/>
      <c r="B124" s="490"/>
      <c r="C124" s="235" t="s">
        <v>10</v>
      </c>
      <c r="D124" s="391"/>
      <c r="E124" s="236">
        <f t="shared" si="6"/>
        <v>0</v>
      </c>
      <c r="F124" s="237">
        <v>0</v>
      </c>
      <c r="G124" s="237">
        <v>0</v>
      </c>
      <c r="H124" s="238">
        <v>0</v>
      </c>
      <c r="I124" s="239">
        <v>0</v>
      </c>
      <c r="J124" s="240">
        <v>0</v>
      </c>
      <c r="K124" s="241"/>
      <c r="L124" s="513"/>
      <c r="M124" s="39"/>
      <c r="N124" s="42"/>
      <c r="O124" s="44"/>
      <c r="P124" s="44"/>
      <c r="Q124" s="44"/>
      <c r="R124" s="44"/>
      <c r="S124" s="43"/>
    </row>
    <row r="125" spans="1:19" ht="11.25" customHeight="1">
      <c r="A125" s="392" t="s">
        <v>114</v>
      </c>
      <c r="B125" s="454" t="s">
        <v>124</v>
      </c>
      <c r="C125" s="66" t="s">
        <v>8</v>
      </c>
      <c r="D125" s="389">
        <f>H125+H126</f>
        <v>295443.29</v>
      </c>
      <c r="E125" s="67">
        <f t="shared" si="6"/>
        <v>14772.16</v>
      </c>
      <c r="F125" s="138">
        <v>0</v>
      </c>
      <c r="G125" s="138">
        <v>0</v>
      </c>
      <c r="H125" s="232">
        <f>ROUND((292634+2809.29)*5/100,2)</f>
        <v>14772.16</v>
      </c>
      <c r="I125" s="138">
        <v>0</v>
      </c>
      <c r="J125" s="68">
        <v>0</v>
      </c>
      <c r="K125" s="231"/>
      <c r="L125" s="513"/>
      <c r="M125" s="40"/>
      <c r="N125" s="42"/>
      <c r="O125" s="44"/>
      <c r="P125" s="44"/>
      <c r="Q125" s="43"/>
      <c r="R125" s="43"/>
      <c r="S125" s="43"/>
    </row>
    <row r="126" spans="1:19" ht="11.25" customHeight="1">
      <c r="A126" s="393"/>
      <c r="B126" s="455"/>
      <c r="C126" s="72" t="s">
        <v>9</v>
      </c>
      <c r="D126" s="390"/>
      <c r="E126" s="73">
        <f t="shared" si="6"/>
        <v>280671.13</v>
      </c>
      <c r="F126" s="141">
        <v>0</v>
      </c>
      <c r="G126" s="141">
        <v>0</v>
      </c>
      <c r="H126" s="233">
        <f>ROUND((292634+2809.29)*95/100,2)</f>
        <v>280671.13</v>
      </c>
      <c r="I126" s="141">
        <v>0</v>
      </c>
      <c r="J126" s="74">
        <v>0</v>
      </c>
      <c r="K126" s="77"/>
      <c r="L126" s="513"/>
      <c r="M126" s="40"/>
      <c r="N126" s="42"/>
      <c r="O126" s="43"/>
      <c r="P126" s="43"/>
      <c r="Q126" s="43"/>
      <c r="R126" s="44"/>
      <c r="S126" s="43"/>
    </row>
    <row r="127" spans="1:19" ht="11.25" customHeight="1" thickBot="1">
      <c r="A127" s="394"/>
      <c r="B127" s="490"/>
      <c r="C127" s="235" t="s">
        <v>10</v>
      </c>
      <c r="D127" s="391"/>
      <c r="E127" s="236">
        <f t="shared" si="6"/>
        <v>0</v>
      </c>
      <c r="F127" s="237">
        <v>0</v>
      </c>
      <c r="G127" s="237">
        <v>0</v>
      </c>
      <c r="H127" s="238">
        <v>0</v>
      </c>
      <c r="I127" s="239">
        <v>0</v>
      </c>
      <c r="J127" s="240">
        <v>0</v>
      </c>
      <c r="K127" s="241"/>
      <c r="L127" s="513"/>
      <c r="M127" s="40"/>
      <c r="N127" s="42"/>
      <c r="O127" s="43"/>
      <c r="P127" s="44"/>
      <c r="Q127" s="43"/>
      <c r="R127" s="43"/>
      <c r="S127" s="43"/>
    </row>
    <row r="128" spans="1:19" ht="11.25" customHeight="1">
      <c r="A128" s="392" t="s">
        <v>115</v>
      </c>
      <c r="B128" s="454" t="s">
        <v>126</v>
      </c>
      <c r="C128" s="66" t="s">
        <v>8</v>
      </c>
      <c r="D128" s="389">
        <f>H128+H129</f>
        <v>78077</v>
      </c>
      <c r="E128" s="67">
        <f t="shared" si="6"/>
        <v>3903.85</v>
      </c>
      <c r="F128" s="138">
        <v>0</v>
      </c>
      <c r="G128" s="138">
        <v>0</v>
      </c>
      <c r="H128" s="232">
        <f>ROUND((76977+1100)*5/100,2)</f>
        <v>3903.85</v>
      </c>
      <c r="I128" s="138">
        <v>0</v>
      </c>
      <c r="J128" s="68">
        <v>0</v>
      </c>
      <c r="K128" s="231"/>
      <c r="L128" s="513"/>
      <c r="M128" s="40"/>
      <c r="N128" s="42"/>
      <c r="O128" s="43"/>
      <c r="P128" s="43"/>
      <c r="Q128" s="43"/>
      <c r="R128" s="43"/>
      <c r="S128" s="43"/>
    </row>
    <row r="129" spans="1:19" ht="11.25" customHeight="1">
      <c r="A129" s="393"/>
      <c r="B129" s="455"/>
      <c r="C129" s="72" t="s">
        <v>9</v>
      </c>
      <c r="D129" s="390"/>
      <c r="E129" s="73">
        <f t="shared" si="6"/>
        <v>74173.15</v>
      </c>
      <c r="F129" s="141">
        <v>0</v>
      </c>
      <c r="G129" s="141">
        <v>0</v>
      </c>
      <c r="H129" s="233">
        <f>ROUND((76977+1100)*95/100,2)</f>
        <v>74173.15</v>
      </c>
      <c r="I129" s="141">
        <v>0</v>
      </c>
      <c r="J129" s="74">
        <v>0</v>
      </c>
      <c r="K129" s="77"/>
      <c r="L129" s="513"/>
      <c r="M129" s="40"/>
      <c r="N129" s="40"/>
      <c r="O129" s="43"/>
      <c r="P129" s="43"/>
      <c r="Q129" s="44"/>
      <c r="R129" s="43"/>
      <c r="S129" s="43"/>
    </row>
    <row r="130" spans="1:19" ht="11.25" customHeight="1" thickBot="1">
      <c r="A130" s="394"/>
      <c r="B130" s="490"/>
      <c r="C130" s="235" t="s">
        <v>10</v>
      </c>
      <c r="D130" s="391"/>
      <c r="E130" s="236">
        <f t="shared" si="6"/>
        <v>0</v>
      </c>
      <c r="F130" s="237">
        <v>0</v>
      </c>
      <c r="G130" s="237">
        <v>0</v>
      </c>
      <c r="H130" s="238">
        <v>0</v>
      </c>
      <c r="I130" s="239">
        <v>0</v>
      </c>
      <c r="J130" s="240">
        <v>0</v>
      </c>
      <c r="K130" s="241"/>
      <c r="L130" s="513"/>
      <c r="M130" s="39"/>
      <c r="N130" s="39"/>
      <c r="O130" s="43"/>
      <c r="P130" s="43"/>
      <c r="Q130" s="43"/>
      <c r="R130" s="43"/>
      <c r="S130" s="43"/>
    </row>
    <row r="131" spans="1:19" ht="11.25" customHeight="1">
      <c r="A131" s="392" t="s">
        <v>127</v>
      </c>
      <c r="B131" s="454" t="s">
        <v>122</v>
      </c>
      <c r="C131" s="66" t="s">
        <v>8</v>
      </c>
      <c r="D131" s="389">
        <f>H131+H132</f>
        <v>848300.9600000001</v>
      </c>
      <c r="E131" s="67">
        <f t="shared" si="6"/>
        <v>42415.05</v>
      </c>
      <c r="F131" s="138">
        <v>0</v>
      </c>
      <c r="G131" s="138">
        <v>0</v>
      </c>
      <c r="H131" s="232">
        <f>ROUND((835935+12365.96)*5/100,2)</f>
        <v>42415.05</v>
      </c>
      <c r="I131" s="138">
        <v>0</v>
      </c>
      <c r="J131" s="68">
        <v>0</v>
      </c>
      <c r="K131" s="231"/>
      <c r="L131" s="513"/>
      <c r="M131" s="40"/>
      <c r="N131" s="40"/>
      <c r="O131" s="43"/>
      <c r="P131" s="43"/>
      <c r="Q131" s="43"/>
      <c r="R131" s="43"/>
      <c r="S131" s="43"/>
    </row>
    <row r="132" spans="1:19" ht="11.25" customHeight="1">
      <c r="A132" s="393"/>
      <c r="B132" s="455"/>
      <c r="C132" s="72" t="s">
        <v>9</v>
      </c>
      <c r="D132" s="390"/>
      <c r="E132" s="73">
        <f t="shared" si="6"/>
        <v>805885.91</v>
      </c>
      <c r="F132" s="141">
        <v>0</v>
      </c>
      <c r="G132" s="141">
        <v>0</v>
      </c>
      <c r="H132" s="233">
        <f>ROUND((835935+12365.96)*95/100,2)</f>
        <v>805885.91</v>
      </c>
      <c r="I132" s="141">
        <v>0</v>
      </c>
      <c r="J132" s="74">
        <v>0</v>
      </c>
      <c r="K132" s="77"/>
      <c r="L132" s="513"/>
      <c r="M132" s="40"/>
      <c r="N132" s="40"/>
      <c r="O132" s="43"/>
      <c r="P132" s="43"/>
      <c r="Q132" s="43"/>
      <c r="R132" s="43"/>
      <c r="S132" s="43"/>
    </row>
    <row r="133" spans="1:19" ht="11.25" customHeight="1" thickBot="1">
      <c r="A133" s="394"/>
      <c r="B133" s="490"/>
      <c r="C133" s="235" t="s">
        <v>10</v>
      </c>
      <c r="D133" s="391"/>
      <c r="E133" s="236">
        <f t="shared" si="6"/>
        <v>0</v>
      </c>
      <c r="F133" s="237">
        <v>0</v>
      </c>
      <c r="G133" s="237">
        <v>0</v>
      </c>
      <c r="H133" s="238">
        <v>0</v>
      </c>
      <c r="I133" s="239">
        <v>0</v>
      </c>
      <c r="J133" s="242">
        <v>0</v>
      </c>
      <c r="K133" s="241"/>
      <c r="L133" s="513"/>
      <c r="M133" s="39"/>
      <c r="N133" s="42"/>
      <c r="O133" s="43"/>
      <c r="P133" s="43"/>
      <c r="Q133" s="43"/>
      <c r="R133" s="43"/>
      <c r="S133" s="43"/>
    </row>
    <row r="134" spans="1:19" ht="11.25" customHeight="1">
      <c r="A134" s="392" t="s">
        <v>128</v>
      </c>
      <c r="B134" s="454" t="s">
        <v>157</v>
      </c>
      <c r="C134" s="66" t="s">
        <v>8</v>
      </c>
      <c r="D134" s="389">
        <v>527122</v>
      </c>
      <c r="E134" s="243"/>
      <c r="F134" s="138">
        <v>0</v>
      </c>
      <c r="G134" s="138">
        <v>0</v>
      </c>
      <c r="H134" s="216">
        <f>ROUND((1301329.66-246582-390816.02)*5/100+3102.38,2)</f>
        <v>36298.96</v>
      </c>
      <c r="I134" s="244">
        <v>14430.34</v>
      </c>
      <c r="J134" s="69">
        <v>0</v>
      </c>
      <c r="K134" s="120"/>
      <c r="L134" s="513"/>
      <c r="M134" s="39"/>
      <c r="N134" s="42"/>
      <c r="O134" s="43"/>
      <c r="P134" s="43"/>
      <c r="Q134" s="43"/>
      <c r="R134" s="43"/>
      <c r="S134" s="43"/>
    </row>
    <row r="135" spans="1:19" ht="11.25" customHeight="1">
      <c r="A135" s="393"/>
      <c r="B135" s="455"/>
      <c r="C135" s="72" t="s">
        <v>9</v>
      </c>
      <c r="D135" s="390"/>
      <c r="E135" s="243"/>
      <c r="F135" s="141">
        <v>0</v>
      </c>
      <c r="G135" s="141">
        <v>0</v>
      </c>
      <c r="H135" s="216">
        <f>ROUND((1301329.66-246582-390816.02)*95/100+13999.6+60312.22+53705.02,2)</f>
        <v>758751.9</v>
      </c>
      <c r="I135" s="245">
        <f>274176.4+6225.73</f>
        <v>280402.13</v>
      </c>
      <c r="J135" s="75">
        <v>0</v>
      </c>
      <c r="K135" s="125"/>
      <c r="L135" s="513"/>
      <c r="M135" s="40"/>
      <c r="N135" s="42"/>
      <c r="O135" s="43"/>
      <c r="P135" s="43"/>
      <c r="Q135" s="43"/>
      <c r="R135" s="43"/>
      <c r="S135" s="43"/>
    </row>
    <row r="136" spans="1:19" ht="11.25" customHeight="1" thickBot="1">
      <c r="A136" s="393"/>
      <c r="B136" s="490"/>
      <c r="C136" s="235" t="s">
        <v>10</v>
      </c>
      <c r="D136" s="391"/>
      <c r="E136" s="243"/>
      <c r="F136" s="246">
        <v>0</v>
      </c>
      <c r="G136" s="246">
        <v>0</v>
      </c>
      <c r="H136" s="247">
        <v>0</v>
      </c>
      <c r="I136" s="248">
        <v>0</v>
      </c>
      <c r="J136" s="249">
        <v>0</v>
      </c>
      <c r="K136" s="250"/>
      <c r="L136" s="513"/>
      <c r="M136" s="40"/>
      <c r="N136" s="42"/>
      <c r="O136" s="43"/>
      <c r="P136" s="43"/>
      <c r="Q136" s="43"/>
      <c r="R136" s="43"/>
      <c r="S136" s="43"/>
    </row>
    <row r="137" spans="1:19" ht="11.25" customHeight="1">
      <c r="A137" s="386" t="s">
        <v>129</v>
      </c>
      <c r="B137" s="387" t="s">
        <v>132</v>
      </c>
      <c r="C137" s="66" t="s">
        <v>8</v>
      </c>
      <c r="D137" s="389">
        <f>H137+H138</f>
        <v>390816.01999999996</v>
      </c>
      <c r="E137" s="251"/>
      <c r="F137" s="252">
        <v>0</v>
      </c>
      <c r="G137" s="253">
        <v>0</v>
      </c>
      <c r="H137" s="211">
        <f>ROUND((390816.02)*5/100,2)</f>
        <v>19540.8</v>
      </c>
      <c r="I137" s="211">
        <v>13678.56</v>
      </c>
      <c r="J137" s="69">
        <v>0</v>
      </c>
      <c r="K137" s="120"/>
      <c r="L137" s="513"/>
      <c r="M137" s="39"/>
      <c r="N137" s="42"/>
      <c r="O137" s="43"/>
      <c r="P137" s="43"/>
      <c r="Q137" s="43"/>
      <c r="R137" s="43"/>
      <c r="S137" s="43"/>
    </row>
    <row r="138" spans="1:19" ht="11.25" customHeight="1">
      <c r="A138" s="386"/>
      <c r="B138" s="388"/>
      <c r="C138" s="72" t="s">
        <v>9</v>
      </c>
      <c r="D138" s="390"/>
      <c r="E138" s="243"/>
      <c r="F138" s="254">
        <v>0</v>
      </c>
      <c r="G138" s="141">
        <v>0</v>
      </c>
      <c r="H138" s="216">
        <f>ROUND((390816.02)*95/100,2)</f>
        <v>371275.22</v>
      </c>
      <c r="I138" s="216">
        <v>259892.65</v>
      </c>
      <c r="J138" s="75">
        <v>0</v>
      </c>
      <c r="K138" s="125"/>
      <c r="L138" s="513"/>
      <c r="M138" s="39"/>
      <c r="N138" s="42"/>
      <c r="O138" s="43"/>
      <c r="P138" s="43"/>
      <c r="Q138" s="43"/>
      <c r="R138" s="43"/>
      <c r="S138" s="43"/>
    </row>
    <row r="139" spans="1:19" ht="11.25" customHeight="1" thickBot="1">
      <c r="A139" s="386"/>
      <c r="B139" s="388"/>
      <c r="C139" s="235" t="s">
        <v>10</v>
      </c>
      <c r="D139" s="391"/>
      <c r="E139" s="255"/>
      <c r="F139" s="256">
        <v>0</v>
      </c>
      <c r="G139" s="257">
        <v>0</v>
      </c>
      <c r="H139" s="258">
        <v>0</v>
      </c>
      <c r="I139" s="258">
        <v>0</v>
      </c>
      <c r="J139" s="249">
        <v>0</v>
      </c>
      <c r="K139" s="250"/>
      <c r="L139" s="513"/>
      <c r="M139" s="40"/>
      <c r="N139" s="42"/>
      <c r="O139" s="43"/>
      <c r="P139" s="43"/>
      <c r="Q139" s="43"/>
      <c r="R139" s="43"/>
      <c r="S139" s="43"/>
    </row>
    <row r="140" spans="1:19" ht="11.25" customHeight="1">
      <c r="A140" s="379" t="s">
        <v>133</v>
      </c>
      <c r="B140" s="376" t="s">
        <v>158</v>
      </c>
      <c r="C140" s="259" t="s">
        <v>8</v>
      </c>
      <c r="D140" s="260"/>
      <c r="E140" s="261"/>
      <c r="F140" s="262">
        <v>0</v>
      </c>
      <c r="G140" s="69">
        <v>0</v>
      </c>
      <c r="H140" s="69">
        <v>0</v>
      </c>
      <c r="I140" s="69">
        <v>18321.05</v>
      </c>
      <c r="J140" s="69">
        <v>0</v>
      </c>
      <c r="K140" s="263"/>
      <c r="L140" s="513"/>
      <c r="M140" s="40"/>
      <c r="N140" s="42"/>
      <c r="O140" s="43"/>
      <c r="P140" s="43"/>
      <c r="Q140" s="43"/>
      <c r="R140" s="43"/>
      <c r="S140" s="43"/>
    </row>
    <row r="141" spans="1:19" ht="11.25" customHeight="1">
      <c r="A141" s="380"/>
      <c r="B141" s="377"/>
      <c r="C141" s="264" t="s">
        <v>9</v>
      </c>
      <c r="D141" s="265">
        <f>I140+I141</f>
        <v>366421.05</v>
      </c>
      <c r="E141" s="261"/>
      <c r="F141" s="266">
        <v>0</v>
      </c>
      <c r="G141" s="75">
        <v>0</v>
      </c>
      <c r="H141" s="75">
        <v>0</v>
      </c>
      <c r="I141" s="75">
        <v>348100</v>
      </c>
      <c r="J141" s="75">
        <v>0</v>
      </c>
      <c r="K141" s="267"/>
      <c r="L141" s="513"/>
      <c r="M141" s="40"/>
      <c r="N141" s="42"/>
      <c r="O141" s="43"/>
      <c r="P141" s="43"/>
      <c r="Q141" s="43"/>
      <c r="R141" s="43"/>
      <c r="S141" s="43"/>
    </row>
    <row r="142" spans="1:19" ht="11.25" customHeight="1" thickBot="1">
      <c r="A142" s="381"/>
      <c r="B142" s="378"/>
      <c r="C142" s="268" t="s">
        <v>10</v>
      </c>
      <c r="D142" s="269"/>
      <c r="E142" s="261"/>
      <c r="F142" s="270">
        <v>0</v>
      </c>
      <c r="G142" s="249">
        <v>0</v>
      </c>
      <c r="H142" s="271">
        <v>0</v>
      </c>
      <c r="I142" s="271">
        <v>0</v>
      </c>
      <c r="J142" s="271">
        <v>0</v>
      </c>
      <c r="K142" s="272"/>
      <c r="L142" s="513"/>
      <c r="M142" s="40"/>
      <c r="N142" s="42"/>
      <c r="O142" s="43"/>
      <c r="P142" s="43"/>
      <c r="Q142" s="43"/>
      <c r="R142" s="43"/>
      <c r="S142" s="43"/>
    </row>
    <row r="143" spans="1:19" ht="11.25" customHeight="1">
      <c r="A143" s="379" t="s">
        <v>134</v>
      </c>
      <c r="B143" s="376" t="s">
        <v>161</v>
      </c>
      <c r="C143" s="259" t="s">
        <v>8</v>
      </c>
      <c r="D143" s="260"/>
      <c r="E143" s="261"/>
      <c r="F143" s="262">
        <v>0</v>
      </c>
      <c r="G143" s="262">
        <v>0</v>
      </c>
      <c r="H143" s="262">
        <v>0</v>
      </c>
      <c r="I143" s="262">
        <v>0</v>
      </c>
      <c r="J143" s="262">
        <v>0</v>
      </c>
      <c r="K143" s="373" t="s">
        <v>154</v>
      </c>
      <c r="L143" s="513"/>
      <c r="M143" s="40"/>
      <c r="N143" s="42"/>
      <c r="O143" s="43"/>
      <c r="P143" s="43"/>
      <c r="Q143" s="43"/>
      <c r="R143" s="43"/>
      <c r="S143" s="43"/>
    </row>
    <row r="144" spans="1:19" ht="11.25" customHeight="1">
      <c r="A144" s="380"/>
      <c r="B144" s="377"/>
      <c r="C144" s="264" t="s">
        <v>9</v>
      </c>
      <c r="D144" s="265">
        <f>I143+I144</f>
        <v>0</v>
      </c>
      <c r="E144" s="261"/>
      <c r="F144" s="266">
        <v>0</v>
      </c>
      <c r="G144" s="266">
        <v>0</v>
      </c>
      <c r="H144" s="266">
        <v>0</v>
      </c>
      <c r="I144" s="266">
        <v>0</v>
      </c>
      <c r="J144" s="266">
        <v>0</v>
      </c>
      <c r="K144" s="374"/>
      <c r="L144" s="513"/>
      <c r="M144" s="40"/>
      <c r="N144" s="42"/>
      <c r="O144" s="43"/>
      <c r="P144" s="43"/>
      <c r="Q144" s="43"/>
      <c r="R144" s="43"/>
      <c r="S144" s="43"/>
    </row>
    <row r="145" spans="1:19" ht="11.25" customHeight="1" thickBot="1">
      <c r="A145" s="381"/>
      <c r="B145" s="378"/>
      <c r="C145" s="268" t="s">
        <v>10</v>
      </c>
      <c r="D145" s="269"/>
      <c r="E145" s="261"/>
      <c r="F145" s="270">
        <v>0</v>
      </c>
      <c r="G145" s="270">
        <v>0</v>
      </c>
      <c r="H145" s="270">
        <v>0</v>
      </c>
      <c r="I145" s="270">
        <v>0</v>
      </c>
      <c r="J145" s="270">
        <v>0</v>
      </c>
      <c r="K145" s="375"/>
      <c r="L145" s="513"/>
      <c r="M145" s="40"/>
      <c r="N145" s="42"/>
      <c r="O145" s="43"/>
      <c r="P145" s="43"/>
      <c r="Q145" s="43"/>
      <c r="R145" s="43"/>
      <c r="S145" s="43"/>
    </row>
    <row r="146" spans="1:19" ht="11.25" customHeight="1">
      <c r="A146" s="379" t="s">
        <v>135</v>
      </c>
      <c r="B146" s="422" t="s">
        <v>143</v>
      </c>
      <c r="C146" s="259" t="s">
        <v>8</v>
      </c>
      <c r="D146" s="260"/>
      <c r="E146" s="261"/>
      <c r="F146" s="273">
        <v>0</v>
      </c>
      <c r="G146" s="273">
        <v>0</v>
      </c>
      <c r="H146" s="274">
        <v>0</v>
      </c>
      <c r="I146" s="275">
        <v>1716000</v>
      </c>
      <c r="J146" s="68">
        <v>0</v>
      </c>
      <c r="K146" s="276"/>
      <c r="L146" s="513"/>
      <c r="M146" s="40"/>
      <c r="N146" s="42"/>
      <c r="O146" s="43"/>
      <c r="P146" s="43"/>
      <c r="Q146" s="43"/>
      <c r="R146" s="43"/>
      <c r="S146" s="43"/>
    </row>
    <row r="147" spans="1:19" ht="11.25" customHeight="1">
      <c r="A147" s="380"/>
      <c r="B147" s="423"/>
      <c r="C147" s="264" t="s">
        <v>9</v>
      </c>
      <c r="D147" s="265">
        <v>1716000</v>
      </c>
      <c r="E147" s="261"/>
      <c r="F147" s="277">
        <v>0</v>
      </c>
      <c r="G147" s="277">
        <v>0</v>
      </c>
      <c r="H147" s="278">
        <v>0</v>
      </c>
      <c r="I147" s="279">
        <v>0</v>
      </c>
      <c r="J147" s="74">
        <v>0</v>
      </c>
      <c r="K147" s="280"/>
      <c r="L147" s="513"/>
      <c r="M147" s="40"/>
      <c r="N147" s="42"/>
      <c r="O147" s="43"/>
      <c r="P147" s="43"/>
      <c r="Q147" s="43"/>
      <c r="R147" s="43"/>
      <c r="S147" s="43"/>
    </row>
    <row r="148" spans="1:19" ht="11.25" customHeight="1" thickBot="1">
      <c r="A148" s="381"/>
      <c r="B148" s="424"/>
      <c r="C148" s="268" t="s">
        <v>10</v>
      </c>
      <c r="D148" s="269"/>
      <c r="E148" s="261"/>
      <c r="F148" s="249">
        <v>0</v>
      </c>
      <c r="G148" s="249">
        <v>0</v>
      </c>
      <c r="H148" s="281">
        <v>0</v>
      </c>
      <c r="I148" s="282">
        <v>0</v>
      </c>
      <c r="J148" s="242">
        <v>0</v>
      </c>
      <c r="K148" s="283"/>
      <c r="L148" s="513"/>
      <c r="M148" s="40"/>
      <c r="N148" s="42"/>
      <c r="O148" s="43"/>
      <c r="P148" s="43"/>
      <c r="Q148" s="43"/>
      <c r="R148" s="43"/>
      <c r="S148" s="43"/>
    </row>
    <row r="149" spans="1:19" ht="11.25" customHeight="1">
      <c r="A149" s="379" t="s">
        <v>136</v>
      </c>
      <c r="B149" s="425" t="s">
        <v>144</v>
      </c>
      <c r="C149" s="66" t="s">
        <v>8</v>
      </c>
      <c r="D149" s="260"/>
      <c r="E149" s="261"/>
      <c r="F149" s="273">
        <v>0</v>
      </c>
      <c r="G149" s="273">
        <v>0</v>
      </c>
      <c r="H149" s="284">
        <v>0</v>
      </c>
      <c r="I149" s="274">
        <v>2033000</v>
      </c>
      <c r="J149" s="70">
        <v>0</v>
      </c>
      <c r="K149" s="273"/>
      <c r="L149" s="514"/>
      <c r="M149" s="40"/>
      <c r="N149" s="42"/>
      <c r="O149" s="43"/>
      <c r="P149" s="43"/>
      <c r="Q149" s="43"/>
      <c r="R149" s="43"/>
      <c r="S149" s="43"/>
    </row>
    <row r="150" spans="1:19" ht="11.25" customHeight="1">
      <c r="A150" s="380"/>
      <c r="B150" s="388"/>
      <c r="C150" s="72" t="s">
        <v>9</v>
      </c>
      <c r="D150" s="265">
        <v>2033000</v>
      </c>
      <c r="E150" s="261"/>
      <c r="F150" s="277">
        <v>0</v>
      </c>
      <c r="G150" s="277">
        <v>0</v>
      </c>
      <c r="H150" s="285">
        <v>0</v>
      </c>
      <c r="I150" s="278">
        <v>0</v>
      </c>
      <c r="J150" s="76">
        <v>0</v>
      </c>
      <c r="K150" s="286"/>
      <c r="L150" s="514"/>
      <c r="M150" s="40"/>
      <c r="N150" s="42"/>
      <c r="O150" s="43"/>
      <c r="P150" s="43"/>
      <c r="Q150" s="43"/>
      <c r="R150" s="43"/>
      <c r="S150" s="43"/>
    </row>
    <row r="151" spans="1:19" ht="12" customHeight="1" thickBot="1">
      <c r="A151" s="381"/>
      <c r="B151" s="426"/>
      <c r="C151" s="235" t="s">
        <v>10</v>
      </c>
      <c r="D151" s="269"/>
      <c r="E151" s="261"/>
      <c r="F151" s="249">
        <v>0</v>
      </c>
      <c r="G151" s="249">
        <v>0</v>
      </c>
      <c r="H151" s="287">
        <v>0</v>
      </c>
      <c r="I151" s="281">
        <v>0</v>
      </c>
      <c r="J151" s="288">
        <v>0</v>
      </c>
      <c r="K151" s="289"/>
      <c r="L151" s="514"/>
      <c r="M151" s="40"/>
      <c r="N151" s="42"/>
      <c r="O151" s="43"/>
      <c r="P151" s="43"/>
      <c r="Q151" s="43"/>
      <c r="R151" s="43"/>
      <c r="S151" s="43"/>
    </row>
    <row r="152" spans="1:19" ht="12" customHeight="1">
      <c r="A152" s="379" t="s">
        <v>137</v>
      </c>
      <c r="B152" s="491" t="s">
        <v>147</v>
      </c>
      <c r="C152" s="66" t="s">
        <v>8</v>
      </c>
      <c r="D152" s="265"/>
      <c r="E152" s="261"/>
      <c r="F152" s="273">
        <v>0</v>
      </c>
      <c r="G152" s="70">
        <v>0</v>
      </c>
      <c r="H152" s="69">
        <v>0</v>
      </c>
      <c r="I152" s="290">
        <v>300000</v>
      </c>
      <c r="J152" s="68">
        <v>0</v>
      </c>
      <c r="K152" s="291"/>
      <c r="L152" s="513"/>
      <c r="M152" s="40"/>
      <c r="N152" s="42"/>
      <c r="O152" s="43"/>
      <c r="P152" s="43"/>
      <c r="Q152" s="43"/>
      <c r="R152" s="43"/>
      <c r="S152" s="43"/>
    </row>
    <row r="153" spans="1:19" ht="12" customHeight="1">
      <c r="A153" s="380"/>
      <c r="B153" s="492"/>
      <c r="C153" s="72" t="s">
        <v>9</v>
      </c>
      <c r="D153" s="265">
        <v>300000</v>
      </c>
      <c r="E153" s="261"/>
      <c r="F153" s="277">
        <v>0</v>
      </c>
      <c r="G153" s="76">
        <v>0</v>
      </c>
      <c r="H153" s="75">
        <v>0</v>
      </c>
      <c r="I153" s="292">
        <v>0</v>
      </c>
      <c r="J153" s="74">
        <v>0</v>
      </c>
      <c r="K153" s="291"/>
      <c r="L153" s="513"/>
      <c r="M153" s="40"/>
      <c r="N153" s="42"/>
      <c r="O153" s="43"/>
      <c r="P153" s="43"/>
      <c r="Q153" s="43"/>
      <c r="R153" s="43"/>
      <c r="S153" s="43"/>
    </row>
    <row r="154" spans="1:19" ht="12" customHeight="1" thickBot="1">
      <c r="A154" s="381"/>
      <c r="B154" s="493"/>
      <c r="C154" s="235" t="s">
        <v>10</v>
      </c>
      <c r="D154" s="265"/>
      <c r="E154" s="261"/>
      <c r="F154" s="249">
        <v>0</v>
      </c>
      <c r="G154" s="288">
        <v>0</v>
      </c>
      <c r="H154" s="249">
        <v>0</v>
      </c>
      <c r="I154" s="293">
        <v>0</v>
      </c>
      <c r="J154" s="242">
        <v>0</v>
      </c>
      <c r="K154" s="294"/>
      <c r="L154" s="513"/>
      <c r="M154" s="40"/>
      <c r="N154" s="42"/>
      <c r="O154" s="43"/>
      <c r="P154" s="43"/>
      <c r="Q154" s="43"/>
      <c r="R154" s="43"/>
      <c r="S154" s="43"/>
    </row>
    <row r="155" spans="1:19" ht="11.25" customHeight="1">
      <c r="A155" s="386" t="s">
        <v>138</v>
      </c>
      <c r="B155" s="387" t="s">
        <v>155</v>
      </c>
      <c r="C155" s="66" t="s">
        <v>8</v>
      </c>
      <c r="D155" s="389">
        <f>I155+I156</f>
        <v>1989500</v>
      </c>
      <c r="E155" s="261"/>
      <c r="F155" s="273">
        <v>0</v>
      </c>
      <c r="G155" s="273">
        <v>0</v>
      </c>
      <c r="H155" s="284">
        <v>0</v>
      </c>
      <c r="I155" s="69">
        <f>795800+1193700</f>
        <v>1989500</v>
      </c>
      <c r="J155" s="70">
        <v>0</v>
      </c>
      <c r="K155" s="273"/>
      <c r="L155" s="514"/>
      <c r="M155" s="40"/>
      <c r="N155" s="42"/>
      <c r="O155" s="43"/>
      <c r="P155" s="43"/>
      <c r="Q155" s="43"/>
      <c r="R155" s="43"/>
      <c r="S155" s="43"/>
    </row>
    <row r="156" spans="1:19" ht="11.25" customHeight="1">
      <c r="A156" s="386"/>
      <c r="B156" s="388"/>
      <c r="C156" s="72" t="s">
        <v>9</v>
      </c>
      <c r="D156" s="390"/>
      <c r="E156" s="261"/>
      <c r="F156" s="277">
        <v>0</v>
      </c>
      <c r="G156" s="277">
        <v>0</v>
      </c>
      <c r="H156" s="285">
        <v>0</v>
      </c>
      <c r="I156" s="75">
        <v>0</v>
      </c>
      <c r="J156" s="76">
        <v>0</v>
      </c>
      <c r="K156" s="286"/>
      <c r="L156" s="514"/>
      <c r="M156" s="40"/>
      <c r="N156" s="42"/>
      <c r="O156" s="43"/>
      <c r="P156" s="43"/>
      <c r="Q156" s="43"/>
      <c r="R156" s="43"/>
      <c r="S156" s="43"/>
    </row>
    <row r="157" spans="1:19" ht="11.25" customHeight="1" thickBot="1">
      <c r="A157" s="386"/>
      <c r="B157" s="426"/>
      <c r="C157" s="235" t="s">
        <v>10</v>
      </c>
      <c r="D157" s="391"/>
      <c r="E157" s="261"/>
      <c r="F157" s="249">
        <v>0</v>
      </c>
      <c r="G157" s="249">
        <v>0</v>
      </c>
      <c r="H157" s="287">
        <v>0</v>
      </c>
      <c r="I157" s="249">
        <v>0</v>
      </c>
      <c r="J157" s="288">
        <v>0</v>
      </c>
      <c r="K157" s="289"/>
      <c r="L157" s="514"/>
      <c r="M157" s="40"/>
      <c r="N157" s="42"/>
      <c r="O157" s="43"/>
      <c r="P157" s="43"/>
      <c r="Q157" s="43"/>
      <c r="R157" s="43"/>
      <c r="S157" s="43"/>
    </row>
    <row r="158" spans="1:19" ht="11.25" customHeight="1">
      <c r="A158" s="386" t="s">
        <v>139</v>
      </c>
      <c r="B158" s="454" t="s">
        <v>145</v>
      </c>
      <c r="C158" s="66" t="s">
        <v>8</v>
      </c>
      <c r="D158" s="260"/>
      <c r="E158" s="261"/>
      <c r="F158" s="295">
        <v>0</v>
      </c>
      <c r="G158" s="273">
        <v>0</v>
      </c>
      <c r="H158" s="285">
        <v>0</v>
      </c>
      <c r="I158" s="274">
        <v>0</v>
      </c>
      <c r="J158" s="70">
        <v>19910.53</v>
      </c>
      <c r="K158" s="291"/>
      <c r="L158" s="514"/>
      <c r="M158" s="40"/>
      <c r="N158" s="42"/>
      <c r="O158" s="43"/>
      <c r="P158" s="43"/>
      <c r="Q158" s="43"/>
      <c r="R158" s="43"/>
      <c r="S158" s="43"/>
    </row>
    <row r="159" spans="1:19" ht="11.25" customHeight="1">
      <c r="A159" s="386"/>
      <c r="B159" s="455"/>
      <c r="C159" s="72" t="s">
        <v>9</v>
      </c>
      <c r="D159" s="265">
        <f>J158+J159</f>
        <v>398210.53</v>
      </c>
      <c r="E159" s="261"/>
      <c r="F159" s="296">
        <v>0</v>
      </c>
      <c r="G159" s="277">
        <v>0</v>
      </c>
      <c r="H159" s="285">
        <v>0</v>
      </c>
      <c r="I159" s="278">
        <v>0</v>
      </c>
      <c r="J159" s="76">
        <v>378300</v>
      </c>
      <c r="K159" s="291"/>
      <c r="L159" s="514"/>
      <c r="M159" s="40"/>
      <c r="N159" s="42"/>
      <c r="O159" s="43"/>
      <c r="P159" s="43"/>
      <c r="Q159" s="43"/>
      <c r="R159" s="43"/>
      <c r="S159" s="43"/>
    </row>
    <row r="160" spans="1:19" ht="11.25" customHeight="1" thickBot="1">
      <c r="A160" s="386"/>
      <c r="B160" s="490"/>
      <c r="C160" s="235" t="s">
        <v>10</v>
      </c>
      <c r="D160" s="269"/>
      <c r="E160" s="261"/>
      <c r="F160" s="296">
        <v>0</v>
      </c>
      <c r="G160" s="249">
        <v>0</v>
      </c>
      <c r="H160" s="287">
        <v>0</v>
      </c>
      <c r="I160" s="281">
        <v>0</v>
      </c>
      <c r="J160" s="288">
        <v>0</v>
      </c>
      <c r="K160" s="291"/>
      <c r="L160" s="514"/>
      <c r="M160" s="40"/>
      <c r="N160" s="42"/>
      <c r="O160" s="43"/>
      <c r="P160" s="43"/>
      <c r="Q160" s="43"/>
      <c r="R160" s="43"/>
      <c r="S160" s="43"/>
    </row>
    <row r="161" spans="1:19" ht="11.25" customHeight="1">
      <c r="A161" s="297"/>
      <c r="B161" s="454" t="s">
        <v>156</v>
      </c>
      <c r="C161" s="66" t="s">
        <v>8</v>
      </c>
      <c r="D161" s="260"/>
      <c r="E161" s="243"/>
      <c r="F161" s="295">
        <v>0</v>
      </c>
      <c r="G161" s="273">
        <v>0</v>
      </c>
      <c r="H161" s="298">
        <v>0</v>
      </c>
      <c r="I161" s="299">
        <v>1306500</v>
      </c>
      <c r="J161" s="68">
        <v>0</v>
      </c>
      <c r="K161" s="291"/>
      <c r="L161" s="513"/>
      <c r="M161" s="40"/>
      <c r="N161" s="42"/>
      <c r="O161" s="43"/>
      <c r="P161" s="43"/>
      <c r="Q161" s="43"/>
      <c r="R161" s="43"/>
      <c r="S161" s="43"/>
    </row>
    <row r="162" spans="1:19" ht="11.25" customHeight="1">
      <c r="A162" s="297" t="s">
        <v>140</v>
      </c>
      <c r="B162" s="455"/>
      <c r="C162" s="72" t="s">
        <v>9</v>
      </c>
      <c r="D162" s="265">
        <v>1306500</v>
      </c>
      <c r="E162" s="243"/>
      <c r="F162" s="296">
        <v>0</v>
      </c>
      <c r="G162" s="277">
        <v>0</v>
      </c>
      <c r="H162" s="298">
        <v>0</v>
      </c>
      <c r="I162" s="300">
        <v>0</v>
      </c>
      <c r="J162" s="74">
        <v>0</v>
      </c>
      <c r="K162" s="291"/>
      <c r="L162" s="513"/>
      <c r="M162" s="40"/>
      <c r="N162" s="42"/>
      <c r="O162" s="43"/>
      <c r="P162" s="43"/>
      <c r="Q162" s="43"/>
      <c r="R162" s="43"/>
      <c r="S162" s="43"/>
    </row>
    <row r="163" spans="1:19" ht="11.25" customHeight="1" thickBot="1">
      <c r="A163" s="297"/>
      <c r="B163" s="490"/>
      <c r="C163" s="235" t="s">
        <v>10</v>
      </c>
      <c r="D163" s="269"/>
      <c r="E163" s="243"/>
      <c r="F163" s="296">
        <v>0</v>
      </c>
      <c r="G163" s="249">
        <v>0</v>
      </c>
      <c r="H163" s="301">
        <v>0</v>
      </c>
      <c r="I163" s="300">
        <v>0</v>
      </c>
      <c r="J163" s="242">
        <v>0</v>
      </c>
      <c r="K163" s="291"/>
      <c r="L163" s="513"/>
      <c r="M163" s="40"/>
      <c r="N163" s="42"/>
      <c r="O163" s="43"/>
      <c r="P163" s="43"/>
      <c r="Q163" s="43"/>
      <c r="R163" s="43"/>
      <c r="S163" s="43"/>
    </row>
    <row r="164" spans="1:19" ht="12.75" customHeight="1">
      <c r="A164" s="470"/>
      <c r="B164" s="473" t="s">
        <v>16</v>
      </c>
      <c r="C164" s="302" t="s">
        <v>8</v>
      </c>
      <c r="D164" s="476"/>
      <c r="E164" s="303">
        <f>SUM(F164:J164)</f>
        <v>52078909.46</v>
      </c>
      <c r="F164" s="304">
        <f aca="true" t="shared" si="7" ref="F164:J166">F11+F20+F29+F32+F35+F50+F53+F56+F59+F62+F65+F68+F71+F74+F83+F86+F89+F92+F95+F101+F104+F107+F110+F113+F116+F119+F122+F125+F128+F131+F134+F137+F140+F143+F146+F149+F152+F155+F158+F161</f>
        <v>15851953.08</v>
      </c>
      <c r="G164" s="304">
        <f t="shared" si="7"/>
        <v>11600542.059999999</v>
      </c>
      <c r="H164" s="304">
        <f t="shared" si="7"/>
        <v>5325101.539999999</v>
      </c>
      <c r="I164" s="304">
        <f t="shared" si="7"/>
        <v>9626322.05</v>
      </c>
      <c r="J164" s="304">
        <f t="shared" si="7"/>
        <v>9674990.729999999</v>
      </c>
      <c r="K164" s="305"/>
      <c r="L164" s="513"/>
      <c r="M164" s="40"/>
      <c r="N164" s="42"/>
      <c r="O164" s="44"/>
      <c r="P164" s="44"/>
      <c r="Q164" s="44"/>
      <c r="R164" s="43"/>
      <c r="S164" s="43"/>
    </row>
    <row r="165" spans="1:19" ht="12.75" customHeight="1">
      <c r="A165" s="471"/>
      <c r="B165" s="474"/>
      <c r="C165" s="306" t="s">
        <v>9</v>
      </c>
      <c r="D165" s="477"/>
      <c r="E165" s="307">
        <f>SUM(F165:J165)</f>
        <v>15526477.21</v>
      </c>
      <c r="F165" s="308">
        <f t="shared" si="7"/>
        <v>0</v>
      </c>
      <c r="G165" s="308">
        <f t="shared" si="7"/>
        <v>6133449.96</v>
      </c>
      <c r="H165" s="308">
        <f t="shared" si="7"/>
        <v>6774316.94</v>
      </c>
      <c r="I165" s="308">
        <f t="shared" si="7"/>
        <v>1046710.31</v>
      </c>
      <c r="J165" s="308">
        <f t="shared" si="7"/>
        <v>1572000</v>
      </c>
      <c r="K165" s="309"/>
      <c r="L165" s="513"/>
      <c r="M165" s="40"/>
      <c r="N165" s="42"/>
      <c r="O165" s="47"/>
      <c r="P165" s="44"/>
      <c r="Q165" s="43"/>
      <c r="R165" s="43"/>
      <c r="S165" s="43"/>
    </row>
    <row r="166" spans="1:19" ht="12.75" customHeight="1" thickBot="1">
      <c r="A166" s="472"/>
      <c r="B166" s="475"/>
      <c r="C166" s="310" t="s">
        <v>10</v>
      </c>
      <c r="D166" s="478"/>
      <c r="E166" s="311">
        <f>SUM(F166:J166)</f>
        <v>192807372.98</v>
      </c>
      <c r="F166" s="312">
        <f t="shared" si="7"/>
        <v>3752000</v>
      </c>
      <c r="G166" s="312">
        <f t="shared" si="7"/>
        <v>83520975.97999999</v>
      </c>
      <c r="H166" s="312">
        <f t="shared" si="7"/>
        <v>85534397</v>
      </c>
      <c r="I166" s="312">
        <f t="shared" si="7"/>
        <v>20000000</v>
      </c>
      <c r="J166" s="312">
        <f t="shared" si="7"/>
        <v>0</v>
      </c>
      <c r="K166" s="313"/>
      <c r="L166" s="513"/>
      <c r="M166" s="40"/>
      <c r="N166" s="42"/>
      <c r="O166" s="44"/>
      <c r="P166" s="44"/>
      <c r="Q166" s="44"/>
      <c r="R166" s="43"/>
      <c r="S166" s="43"/>
    </row>
    <row r="167" spans="1:19" ht="16.5" customHeight="1" thickBot="1">
      <c r="A167" s="483" t="s">
        <v>17</v>
      </c>
      <c r="B167" s="484"/>
      <c r="C167" s="484"/>
      <c r="D167" s="485"/>
      <c r="E167" s="484"/>
      <c r="F167" s="486"/>
      <c r="G167" s="486"/>
      <c r="H167" s="486"/>
      <c r="I167" s="486"/>
      <c r="J167" s="484"/>
      <c r="K167" s="314"/>
      <c r="L167" s="513"/>
      <c r="M167" s="40"/>
      <c r="N167" s="48"/>
      <c r="O167" s="43"/>
      <c r="P167" s="43"/>
      <c r="Q167" s="44"/>
      <c r="R167" s="43"/>
      <c r="S167" s="43"/>
    </row>
    <row r="168" spans="1:19" s="9" customFormat="1" ht="17.25" customHeight="1">
      <c r="A168" s="404" t="s">
        <v>141</v>
      </c>
      <c r="B168" s="407" t="s">
        <v>35</v>
      </c>
      <c r="C168" s="66" t="s">
        <v>8</v>
      </c>
      <c r="D168" s="487">
        <f>E168+E169+E170</f>
        <v>27009092.020000003</v>
      </c>
      <c r="E168" s="148">
        <f aca="true" t="shared" si="8" ref="E168:E182">SUM(F168:J168)</f>
        <v>25959592.020000003</v>
      </c>
      <c r="F168" s="69">
        <f>100000+11489726.59+933960.56</f>
        <v>12523687.15</v>
      </c>
      <c r="G168" s="69">
        <f>12568687.15+867217.72</f>
        <v>13435904.870000001</v>
      </c>
      <c r="H168" s="69">
        <v>0</v>
      </c>
      <c r="I168" s="69">
        <v>0</v>
      </c>
      <c r="J168" s="70">
        <v>0</v>
      </c>
      <c r="K168" s="71"/>
      <c r="L168" s="513"/>
      <c r="M168" s="40"/>
      <c r="N168" s="49"/>
      <c r="O168" s="50"/>
      <c r="P168" s="49"/>
      <c r="Q168" s="50"/>
      <c r="R168" s="50"/>
      <c r="S168" s="50"/>
    </row>
    <row r="169" spans="1:16" s="9" customFormat="1" ht="17.25" customHeight="1">
      <c r="A169" s="405"/>
      <c r="B169" s="408"/>
      <c r="C169" s="72" t="s">
        <v>9</v>
      </c>
      <c r="D169" s="488"/>
      <c r="E169" s="151">
        <f t="shared" si="8"/>
        <v>1049500</v>
      </c>
      <c r="F169" s="75">
        <f>F172+F175+F178+F181</f>
        <v>0</v>
      </c>
      <c r="G169" s="75">
        <f aca="true" t="shared" si="9" ref="F169:J170">G172+G175+G178+G181</f>
        <v>1049500</v>
      </c>
      <c r="H169" s="75">
        <f t="shared" si="9"/>
        <v>0</v>
      </c>
      <c r="I169" s="75">
        <f t="shared" si="9"/>
        <v>0</v>
      </c>
      <c r="J169" s="76">
        <f t="shared" si="9"/>
        <v>0</v>
      </c>
      <c r="K169" s="77"/>
      <c r="L169" s="513"/>
      <c r="M169" s="37"/>
      <c r="P169" s="41"/>
    </row>
    <row r="170" spans="1:16" s="9" customFormat="1" ht="14.25" customHeight="1" thickBot="1">
      <c r="A170" s="406"/>
      <c r="B170" s="409"/>
      <c r="C170" s="78" t="s">
        <v>10</v>
      </c>
      <c r="D170" s="489"/>
      <c r="E170" s="189">
        <f t="shared" si="8"/>
        <v>0</v>
      </c>
      <c r="F170" s="80">
        <f t="shared" si="9"/>
        <v>0</v>
      </c>
      <c r="G170" s="80">
        <f t="shared" si="9"/>
        <v>0</v>
      </c>
      <c r="H170" s="80">
        <f t="shared" si="9"/>
        <v>0</v>
      </c>
      <c r="I170" s="80">
        <f t="shared" si="9"/>
        <v>0</v>
      </c>
      <c r="J170" s="76">
        <f t="shared" si="9"/>
        <v>0</v>
      </c>
      <c r="K170" s="82"/>
      <c r="L170" s="513"/>
      <c r="M170" s="37"/>
      <c r="N170" s="20"/>
      <c r="P170" s="41"/>
    </row>
    <row r="171" spans="1:13" s="14" customFormat="1" ht="17.25" customHeight="1" hidden="1">
      <c r="A171" s="462"/>
      <c r="B171" s="465" t="s">
        <v>31</v>
      </c>
      <c r="C171" s="196" t="s">
        <v>8</v>
      </c>
      <c r="D171" s="469">
        <f>E171+E172+E173</f>
        <v>4659802.46</v>
      </c>
      <c r="E171" s="198">
        <f t="shared" si="8"/>
        <v>4659802.46</v>
      </c>
      <c r="F171" s="199">
        <v>100000</v>
      </c>
      <c r="G171" s="199">
        <v>0</v>
      </c>
      <c r="H171" s="199">
        <v>0</v>
      </c>
      <c r="I171" s="199">
        <f>513102.46-5213.03+251913.03</f>
        <v>759802.46</v>
      </c>
      <c r="J171" s="85">
        <v>3800000</v>
      </c>
      <c r="K171" s="112"/>
      <c r="L171" s="513"/>
      <c r="M171" s="37"/>
    </row>
    <row r="172" spans="1:15" s="14" customFormat="1" ht="17.25" customHeight="1" hidden="1">
      <c r="A172" s="463"/>
      <c r="B172" s="466"/>
      <c r="C172" s="201" t="s">
        <v>9</v>
      </c>
      <c r="D172" s="469"/>
      <c r="E172" s="203">
        <f t="shared" si="8"/>
        <v>0</v>
      </c>
      <c r="F172" s="203">
        <v>0</v>
      </c>
      <c r="G172" s="203">
        <v>0</v>
      </c>
      <c r="H172" s="203">
        <v>0</v>
      </c>
      <c r="I172" s="203">
        <v>0</v>
      </c>
      <c r="J172" s="92">
        <v>0</v>
      </c>
      <c r="K172" s="315"/>
      <c r="L172" s="513"/>
      <c r="M172" s="37"/>
      <c r="O172" s="15"/>
    </row>
    <row r="173" spans="1:13" s="14" customFormat="1" ht="17.25" customHeight="1" hidden="1">
      <c r="A173" s="464"/>
      <c r="B173" s="467"/>
      <c r="C173" s="316" t="s">
        <v>10</v>
      </c>
      <c r="D173" s="482"/>
      <c r="E173" s="206">
        <f t="shared" si="8"/>
        <v>0</v>
      </c>
      <c r="F173" s="206">
        <v>0</v>
      </c>
      <c r="G173" s="206">
        <v>0</v>
      </c>
      <c r="H173" s="206">
        <v>0</v>
      </c>
      <c r="I173" s="206">
        <v>0</v>
      </c>
      <c r="J173" s="98">
        <v>0</v>
      </c>
      <c r="K173" s="317"/>
      <c r="L173" s="513"/>
      <c r="M173" s="37"/>
    </row>
    <row r="174" spans="1:13" s="14" customFormat="1" ht="17.25" customHeight="1" hidden="1">
      <c r="A174" s="462"/>
      <c r="B174" s="465" t="s">
        <v>32</v>
      </c>
      <c r="C174" s="196" t="s">
        <v>8</v>
      </c>
      <c r="D174" s="479">
        <f>E174+E175+E176</f>
        <v>25975131.46</v>
      </c>
      <c r="E174" s="198">
        <f t="shared" si="8"/>
        <v>24925631.46</v>
      </c>
      <c r="F174" s="198">
        <v>11489726.59</v>
      </c>
      <c r="G174" s="198">
        <v>13435904.87</v>
      </c>
      <c r="H174" s="198">
        <v>0</v>
      </c>
      <c r="I174" s="198">
        <v>0</v>
      </c>
      <c r="J174" s="85">
        <v>0</v>
      </c>
      <c r="K174" s="112"/>
      <c r="L174" s="513"/>
      <c r="M174" s="37"/>
    </row>
    <row r="175" spans="1:13" s="14" customFormat="1" ht="17.25" customHeight="1" hidden="1">
      <c r="A175" s="463"/>
      <c r="B175" s="466"/>
      <c r="C175" s="201" t="s">
        <v>9</v>
      </c>
      <c r="D175" s="480"/>
      <c r="E175" s="203">
        <f t="shared" si="8"/>
        <v>1049500</v>
      </c>
      <c r="F175" s="203">
        <v>0</v>
      </c>
      <c r="G175" s="203">
        <v>1049500</v>
      </c>
      <c r="H175" s="203">
        <v>0</v>
      </c>
      <c r="I175" s="203">
        <v>0</v>
      </c>
      <c r="J175" s="92">
        <v>0</v>
      </c>
      <c r="K175" s="315"/>
      <c r="L175" s="513"/>
      <c r="M175" s="37"/>
    </row>
    <row r="176" spans="1:13" s="14" customFormat="1" ht="17.25" customHeight="1" hidden="1">
      <c r="A176" s="464"/>
      <c r="B176" s="467"/>
      <c r="C176" s="316" t="s">
        <v>10</v>
      </c>
      <c r="D176" s="481"/>
      <c r="E176" s="206">
        <f t="shared" si="8"/>
        <v>0</v>
      </c>
      <c r="F176" s="206">
        <v>0</v>
      </c>
      <c r="G176" s="206">
        <v>0</v>
      </c>
      <c r="H176" s="206">
        <v>0</v>
      </c>
      <c r="I176" s="206">
        <v>0</v>
      </c>
      <c r="J176" s="98">
        <v>0</v>
      </c>
      <c r="K176" s="317"/>
      <c r="L176" s="513"/>
      <c r="M176" s="37"/>
    </row>
    <row r="177" spans="1:13" s="14" customFormat="1" ht="17.25" customHeight="1" hidden="1">
      <c r="A177" s="462"/>
      <c r="B177" s="465" t="s">
        <v>33</v>
      </c>
      <c r="C177" s="196" t="s">
        <v>8</v>
      </c>
      <c r="D177" s="468">
        <f>E177+E178+E179</f>
        <v>0</v>
      </c>
      <c r="E177" s="203">
        <f t="shared" si="8"/>
        <v>0</v>
      </c>
      <c r="F177" s="198">
        <v>0</v>
      </c>
      <c r="G177" s="198">
        <v>0</v>
      </c>
      <c r="H177" s="198">
        <v>0</v>
      </c>
      <c r="I177" s="198">
        <v>0</v>
      </c>
      <c r="J177" s="85">
        <v>0</v>
      </c>
      <c r="K177" s="112"/>
      <c r="L177" s="513"/>
      <c r="M177" s="37"/>
    </row>
    <row r="178" spans="1:13" s="14" customFormat="1" ht="17.25" customHeight="1" hidden="1">
      <c r="A178" s="463"/>
      <c r="B178" s="466"/>
      <c r="C178" s="201" t="s">
        <v>9</v>
      </c>
      <c r="D178" s="469"/>
      <c r="E178" s="203">
        <f t="shared" si="8"/>
        <v>0</v>
      </c>
      <c r="F178" s="203">
        <v>0</v>
      </c>
      <c r="G178" s="203">
        <v>0</v>
      </c>
      <c r="H178" s="203">
        <v>0</v>
      </c>
      <c r="I178" s="203">
        <v>0</v>
      </c>
      <c r="J178" s="92">
        <v>0</v>
      </c>
      <c r="K178" s="315"/>
      <c r="L178" s="513"/>
      <c r="M178" s="37"/>
    </row>
    <row r="179" spans="1:13" s="14" customFormat="1" ht="17.25" customHeight="1" hidden="1">
      <c r="A179" s="464"/>
      <c r="B179" s="467"/>
      <c r="C179" s="316" t="s">
        <v>10</v>
      </c>
      <c r="D179" s="482"/>
      <c r="E179" s="203">
        <f t="shared" si="8"/>
        <v>0</v>
      </c>
      <c r="F179" s="206">
        <v>0</v>
      </c>
      <c r="G179" s="206">
        <v>0</v>
      </c>
      <c r="H179" s="206">
        <v>0</v>
      </c>
      <c r="I179" s="206">
        <v>0</v>
      </c>
      <c r="J179" s="98">
        <v>0</v>
      </c>
      <c r="K179" s="317"/>
      <c r="L179" s="513"/>
      <c r="M179" s="37"/>
    </row>
    <row r="180" spans="1:13" s="14" customFormat="1" ht="17.25" customHeight="1" hidden="1">
      <c r="A180" s="462"/>
      <c r="B180" s="465" t="s">
        <v>34</v>
      </c>
      <c r="C180" s="196" t="s">
        <v>8</v>
      </c>
      <c r="D180" s="468">
        <f>E180+E181+E182</f>
        <v>0</v>
      </c>
      <c r="E180" s="198">
        <f t="shared" si="8"/>
        <v>0</v>
      </c>
      <c r="F180" s="198">
        <v>0</v>
      </c>
      <c r="G180" s="198">
        <v>0</v>
      </c>
      <c r="H180" s="198">
        <v>0</v>
      </c>
      <c r="I180" s="198">
        <v>0</v>
      </c>
      <c r="J180" s="85">
        <v>0</v>
      </c>
      <c r="K180" s="112"/>
      <c r="L180" s="513"/>
      <c r="M180" s="37"/>
    </row>
    <row r="181" spans="1:13" s="14" customFormat="1" ht="17.25" customHeight="1" hidden="1">
      <c r="A181" s="463"/>
      <c r="B181" s="466"/>
      <c r="C181" s="201" t="s">
        <v>9</v>
      </c>
      <c r="D181" s="469"/>
      <c r="E181" s="203">
        <f t="shared" si="8"/>
        <v>0</v>
      </c>
      <c r="F181" s="203">
        <v>0</v>
      </c>
      <c r="G181" s="203">
        <v>0</v>
      </c>
      <c r="H181" s="203">
        <v>0</v>
      </c>
      <c r="I181" s="203">
        <v>0</v>
      </c>
      <c r="J181" s="92">
        <v>0</v>
      </c>
      <c r="K181" s="315"/>
      <c r="L181" s="513"/>
      <c r="M181" s="37"/>
    </row>
    <row r="182" spans="1:13" s="14" customFormat="1" ht="17.25" customHeight="1" hidden="1">
      <c r="A182" s="464"/>
      <c r="B182" s="467"/>
      <c r="C182" s="316" t="s">
        <v>10</v>
      </c>
      <c r="D182" s="469"/>
      <c r="E182" s="206">
        <f t="shared" si="8"/>
        <v>0</v>
      </c>
      <c r="F182" s="318">
        <v>0</v>
      </c>
      <c r="G182" s="206">
        <v>0</v>
      </c>
      <c r="H182" s="318">
        <v>0</v>
      </c>
      <c r="I182" s="318">
        <v>0</v>
      </c>
      <c r="J182" s="98">
        <v>0</v>
      </c>
      <c r="K182" s="317"/>
      <c r="L182" s="513"/>
      <c r="M182" s="37"/>
    </row>
    <row r="183" spans="1:13" s="9" customFormat="1" ht="17.25" customHeight="1">
      <c r="A183" s="470"/>
      <c r="B183" s="473" t="s">
        <v>18</v>
      </c>
      <c r="C183" s="302" t="s">
        <v>8</v>
      </c>
      <c r="D183" s="476"/>
      <c r="E183" s="319">
        <f aca="true" t="shared" si="10" ref="E183:J185">E168</f>
        <v>25959592.020000003</v>
      </c>
      <c r="F183" s="320">
        <f t="shared" si="10"/>
        <v>12523687.15</v>
      </c>
      <c r="G183" s="319">
        <f t="shared" si="10"/>
        <v>13435904.870000001</v>
      </c>
      <c r="H183" s="320">
        <v>0</v>
      </c>
      <c r="I183" s="320">
        <f t="shared" si="10"/>
        <v>0</v>
      </c>
      <c r="J183" s="319">
        <v>0</v>
      </c>
      <c r="K183" s="305"/>
      <c r="L183" s="513"/>
      <c r="M183" s="37"/>
    </row>
    <row r="184" spans="1:15" s="9" customFormat="1" ht="17.25" customHeight="1">
      <c r="A184" s="471"/>
      <c r="B184" s="474"/>
      <c r="C184" s="306" t="s">
        <v>9</v>
      </c>
      <c r="D184" s="477"/>
      <c r="E184" s="321">
        <f t="shared" si="10"/>
        <v>1049500</v>
      </c>
      <c r="F184" s="322">
        <f t="shared" si="10"/>
        <v>0</v>
      </c>
      <c r="G184" s="321">
        <f t="shared" si="10"/>
        <v>1049500</v>
      </c>
      <c r="H184" s="322">
        <f t="shared" si="10"/>
        <v>0</v>
      </c>
      <c r="I184" s="322">
        <f t="shared" si="10"/>
        <v>0</v>
      </c>
      <c r="J184" s="321">
        <f t="shared" si="10"/>
        <v>0</v>
      </c>
      <c r="K184" s="309"/>
      <c r="L184" s="513"/>
      <c r="M184" s="37"/>
      <c r="N184" s="20"/>
      <c r="O184" s="20"/>
    </row>
    <row r="185" spans="1:13" s="9" customFormat="1" ht="16.5" customHeight="1" thickBot="1">
      <c r="A185" s="472"/>
      <c r="B185" s="475"/>
      <c r="C185" s="310" t="s">
        <v>10</v>
      </c>
      <c r="D185" s="478"/>
      <c r="E185" s="323">
        <f t="shared" si="10"/>
        <v>0</v>
      </c>
      <c r="F185" s="324">
        <f t="shared" si="10"/>
        <v>0</v>
      </c>
      <c r="G185" s="323">
        <f t="shared" si="10"/>
        <v>0</v>
      </c>
      <c r="H185" s="324">
        <f t="shared" si="10"/>
        <v>0</v>
      </c>
      <c r="I185" s="324">
        <f t="shared" si="10"/>
        <v>0</v>
      </c>
      <c r="J185" s="311">
        <f t="shared" si="10"/>
        <v>0</v>
      </c>
      <c r="K185" s="313"/>
      <c r="L185" s="513"/>
      <c r="M185" s="37"/>
    </row>
    <row r="186" spans="1:13" ht="17.25" customHeight="1" hidden="1">
      <c r="A186" s="451"/>
      <c r="B186" s="454"/>
      <c r="C186" s="325"/>
      <c r="D186" s="457"/>
      <c r="E186" s="325"/>
      <c r="F186" s="326"/>
      <c r="G186" s="325"/>
      <c r="H186" s="326"/>
      <c r="I186" s="326"/>
      <c r="J186" s="325"/>
      <c r="K186" s="327"/>
      <c r="L186" s="513"/>
      <c r="M186" s="37"/>
    </row>
    <row r="187" spans="1:13" ht="17.25" customHeight="1" hidden="1">
      <c r="A187" s="452"/>
      <c r="B187" s="455"/>
      <c r="C187" s="328"/>
      <c r="D187" s="457"/>
      <c r="E187" s="328"/>
      <c r="F187" s="328"/>
      <c r="G187" s="328"/>
      <c r="H187" s="328"/>
      <c r="I187" s="328"/>
      <c r="J187" s="328"/>
      <c r="K187" s="327"/>
      <c r="L187" s="513"/>
      <c r="M187" s="37"/>
    </row>
    <row r="188" spans="1:13" ht="17.25" customHeight="1" hidden="1">
      <c r="A188" s="453"/>
      <c r="B188" s="456"/>
      <c r="C188" s="329"/>
      <c r="D188" s="458"/>
      <c r="E188" s="329"/>
      <c r="F188" s="329"/>
      <c r="G188" s="329"/>
      <c r="H188" s="329"/>
      <c r="I188" s="329"/>
      <c r="J188" s="329"/>
      <c r="K188" s="330"/>
      <c r="L188" s="513"/>
      <c r="M188" s="37"/>
    </row>
    <row r="189" spans="1:13" ht="17.25" customHeight="1" hidden="1">
      <c r="A189" s="331"/>
      <c r="B189" s="332"/>
      <c r="C189" s="328"/>
      <c r="D189" s="333"/>
      <c r="E189" s="328"/>
      <c r="F189" s="328"/>
      <c r="G189" s="328"/>
      <c r="H189" s="328"/>
      <c r="I189" s="328"/>
      <c r="J189" s="328"/>
      <c r="K189" s="327"/>
      <c r="L189" s="513"/>
      <c r="M189" s="37"/>
    </row>
    <row r="190" spans="1:13" ht="18" customHeight="1" thickBot="1">
      <c r="A190" s="459" t="s">
        <v>19</v>
      </c>
      <c r="B190" s="460"/>
      <c r="C190" s="460"/>
      <c r="D190" s="460"/>
      <c r="E190" s="460"/>
      <c r="F190" s="460"/>
      <c r="G190" s="460"/>
      <c r="H190" s="460"/>
      <c r="I190" s="460"/>
      <c r="J190" s="461"/>
      <c r="K190" s="314"/>
      <c r="L190" s="513"/>
      <c r="M190" s="37"/>
    </row>
    <row r="191" spans="1:13" ht="15" customHeight="1">
      <c r="A191" s="404" t="s">
        <v>148</v>
      </c>
      <c r="B191" s="407" t="s">
        <v>20</v>
      </c>
      <c r="C191" s="66" t="s">
        <v>8</v>
      </c>
      <c r="D191" s="410">
        <v>450000</v>
      </c>
      <c r="E191" s="334">
        <f aca="true" t="shared" si="11" ref="E191:E254">SUM(F191:J191)</f>
        <v>45899.6</v>
      </c>
      <c r="F191" s="141">
        <f>45000+899.6</f>
        <v>45899.6</v>
      </c>
      <c r="G191" s="135">
        <v>0</v>
      </c>
      <c r="H191" s="135">
        <v>0</v>
      </c>
      <c r="I191" s="135">
        <v>0</v>
      </c>
      <c r="J191" s="66">
        <v>0</v>
      </c>
      <c r="K191" s="446" t="s">
        <v>153</v>
      </c>
      <c r="L191" s="513"/>
      <c r="M191" s="37"/>
    </row>
    <row r="192" spans="1:13" ht="15" customHeight="1">
      <c r="A192" s="405"/>
      <c r="B192" s="408"/>
      <c r="C192" s="72" t="s">
        <v>9</v>
      </c>
      <c r="D192" s="411"/>
      <c r="E192" s="267">
        <f t="shared" si="11"/>
        <v>405000</v>
      </c>
      <c r="F192" s="141">
        <f>405000</f>
        <v>405000</v>
      </c>
      <c r="G192" s="139">
        <v>0</v>
      </c>
      <c r="H192" s="139">
        <v>0</v>
      </c>
      <c r="I192" s="139">
        <v>0</v>
      </c>
      <c r="J192" s="72">
        <v>0</v>
      </c>
      <c r="K192" s="447"/>
      <c r="L192" s="513"/>
      <c r="M192" s="37"/>
    </row>
    <row r="193" spans="1:13" ht="15" customHeight="1" thickBot="1">
      <c r="A193" s="406"/>
      <c r="B193" s="409"/>
      <c r="C193" s="78" t="s">
        <v>10</v>
      </c>
      <c r="D193" s="412"/>
      <c r="E193" s="267">
        <v>0</v>
      </c>
      <c r="F193" s="145">
        <v>0</v>
      </c>
      <c r="G193" s="142" t="s">
        <v>116</v>
      </c>
      <c r="H193" s="142">
        <v>0</v>
      </c>
      <c r="I193" s="142">
        <v>0</v>
      </c>
      <c r="J193" s="78">
        <v>0</v>
      </c>
      <c r="K193" s="447"/>
      <c r="L193" s="513"/>
      <c r="M193" s="37"/>
    </row>
    <row r="194" spans="1:13" ht="15" customHeight="1">
      <c r="A194" s="404" t="s">
        <v>149</v>
      </c>
      <c r="B194" s="407" t="s">
        <v>65</v>
      </c>
      <c r="C194" s="66" t="s">
        <v>8</v>
      </c>
      <c r="D194" s="410">
        <f>D197+D200+D203+D206+D209+D212</f>
        <v>41563500</v>
      </c>
      <c r="E194" s="335">
        <f t="shared" si="11"/>
        <v>0</v>
      </c>
      <c r="F194" s="135">
        <f aca="true" t="shared" si="12" ref="F194:J196">F197+F200+F203+F206+F209+F212</f>
        <v>0</v>
      </c>
      <c r="G194" s="135">
        <f t="shared" si="12"/>
        <v>0</v>
      </c>
      <c r="H194" s="135">
        <f t="shared" si="12"/>
        <v>0</v>
      </c>
      <c r="I194" s="135">
        <f t="shared" si="12"/>
        <v>0</v>
      </c>
      <c r="J194" s="66">
        <f t="shared" si="12"/>
        <v>0</v>
      </c>
      <c r="K194" s="447"/>
      <c r="L194" s="513"/>
      <c r="M194" s="37"/>
    </row>
    <row r="195" spans="1:13" ht="15" customHeight="1">
      <c r="A195" s="405"/>
      <c r="B195" s="408"/>
      <c r="C195" s="72" t="s">
        <v>9</v>
      </c>
      <c r="D195" s="411"/>
      <c r="E195" s="336">
        <f t="shared" si="11"/>
        <v>0</v>
      </c>
      <c r="F195" s="139">
        <f t="shared" si="12"/>
        <v>0</v>
      </c>
      <c r="G195" s="139">
        <f t="shared" si="12"/>
        <v>0</v>
      </c>
      <c r="H195" s="139">
        <f t="shared" si="12"/>
        <v>0</v>
      </c>
      <c r="I195" s="139">
        <f t="shared" si="12"/>
        <v>0</v>
      </c>
      <c r="J195" s="139">
        <f t="shared" si="12"/>
        <v>0</v>
      </c>
      <c r="K195" s="447"/>
      <c r="L195" s="513"/>
      <c r="M195" s="37"/>
    </row>
    <row r="196" spans="1:13" ht="15" customHeight="1" thickBot="1">
      <c r="A196" s="406"/>
      <c r="B196" s="409"/>
      <c r="C196" s="78" t="s">
        <v>10</v>
      </c>
      <c r="D196" s="412"/>
      <c r="E196" s="337">
        <f t="shared" si="11"/>
        <v>0</v>
      </c>
      <c r="F196" s="142">
        <f t="shared" si="12"/>
        <v>0</v>
      </c>
      <c r="G196" s="142">
        <f t="shared" si="12"/>
        <v>0</v>
      </c>
      <c r="H196" s="142">
        <f t="shared" si="12"/>
        <v>0</v>
      </c>
      <c r="I196" s="142">
        <f t="shared" si="12"/>
        <v>0</v>
      </c>
      <c r="J196" s="142">
        <f t="shared" si="12"/>
        <v>0</v>
      </c>
      <c r="K196" s="447"/>
      <c r="L196" s="513"/>
      <c r="M196" s="37"/>
    </row>
    <row r="197" spans="1:13" ht="13.5" customHeight="1" hidden="1">
      <c r="A197" s="443"/>
      <c r="B197" s="437" t="s">
        <v>36</v>
      </c>
      <c r="C197" s="338" t="s">
        <v>8</v>
      </c>
      <c r="D197" s="449">
        <v>2601500</v>
      </c>
      <c r="E197" s="338">
        <f t="shared" si="11"/>
        <v>0</v>
      </c>
      <c r="F197" s="338">
        <v>0</v>
      </c>
      <c r="G197" s="338">
        <v>0</v>
      </c>
      <c r="H197" s="338">
        <v>0</v>
      </c>
      <c r="I197" s="338">
        <v>0</v>
      </c>
      <c r="J197" s="116">
        <v>0</v>
      </c>
      <c r="K197" s="447"/>
      <c r="L197" s="513"/>
      <c r="M197" s="37"/>
    </row>
    <row r="198" spans="1:13" ht="13.5" customHeight="1" hidden="1">
      <c r="A198" s="444"/>
      <c r="B198" s="438"/>
      <c r="C198" s="339" t="s">
        <v>9</v>
      </c>
      <c r="D198" s="449"/>
      <c r="E198" s="339">
        <f t="shared" si="11"/>
        <v>0</v>
      </c>
      <c r="F198" s="339">
        <v>0</v>
      </c>
      <c r="G198" s="339">
        <v>0</v>
      </c>
      <c r="H198" s="339">
        <v>0</v>
      </c>
      <c r="I198" s="339">
        <v>0</v>
      </c>
      <c r="J198" s="121">
        <v>0</v>
      </c>
      <c r="K198" s="447"/>
      <c r="L198" s="513"/>
      <c r="M198" s="37"/>
    </row>
    <row r="199" spans="1:13" ht="13.5" customHeight="1" hidden="1">
      <c r="A199" s="445"/>
      <c r="B199" s="439"/>
      <c r="C199" s="340" t="s">
        <v>10</v>
      </c>
      <c r="D199" s="450"/>
      <c r="E199" s="341">
        <f t="shared" si="11"/>
        <v>0</v>
      </c>
      <c r="F199" s="340">
        <v>0</v>
      </c>
      <c r="G199" s="340" t="s">
        <v>116</v>
      </c>
      <c r="H199" s="340">
        <v>0</v>
      </c>
      <c r="I199" s="340">
        <v>0</v>
      </c>
      <c r="J199" s="126">
        <v>0</v>
      </c>
      <c r="K199" s="447"/>
      <c r="L199" s="513"/>
      <c r="M199" s="37"/>
    </row>
    <row r="200" spans="1:13" ht="13.5" customHeight="1" hidden="1">
      <c r="A200" s="443"/>
      <c r="B200" s="437" t="s">
        <v>37</v>
      </c>
      <c r="C200" s="338" t="s">
        <v>8</v>
      </c>
      <c r="D200" s="440" t="s">
        <v>79</v>
      </c>
      <c r="E200" s="338">
        <f t="shared" si="11"/>
        <v>0</v>
      </c>
      <c r="F200" s="338">
        <v>0</v>
      </c>
      <c r="G200" s="338">
        <v>0</v>
      </c>
      <c r="H200" s="338">
        <v>0</v>
      </c>
      <c r="I200" s="338">
        <v>0</v>
      </c>
      <c r="J200" s="116">
        <v>0</v>
      </c>
      <c r="K200" s="447"/>
      <c r="L200" s="513"/>
      <c r="M200" s="37"/>
    </row>
    <row r="201" spans="1:13" ht="13.5" customHeight="1" hidden="1">
      <c r="A201" s="444"/>
      <c r="B201" s="438"/>
      <c r="C201" s="339" t="s">
        <v>9</v>
      </c>
      <c r="D201" s="441"/>
      <c r="E201" s="339">
        <f t="shared" si="11"/>
        <v>0</v>
      </c>
      <c r="F201" s="339">
        <v>0</v>
      </c>
      <c r="G201" s="339">
        <v>0</v>
      </c>
      <c r="H201" s="339">
        <v>0</v>
      </c>
      <c r="I201" s="339">
        <v>0</v>
      </c>
      <c r="J201" s="121">
        <v>0</v>
      </c>
      <c r="K201" s="447"/>
      <c r="L201" s="513"/>
      <c r="M201" s="37"/>
    </row>
    <row r="202" spans="1:13" ht="13.5" customHeight="1" hidden="1">
      <c r="A202" s="445"/>
      <c r="B202" s="439"/>
      <c r="C202" s="340" t="s">
        <v>10</v>
      </c>
      <c r="D202" s="442"/>
      <c r="E202" s="340">
        <f t="shared" si="11"/>
        <v>0</v>
      </c>
      <c r="F202" s="340">
        <v>0</v>
      </c>
      <c r="G202" s="340">
        <v>0</v>
      </c>
      <c r="H202" s="340">
        <v>0</v>
      </c>
      <c r="I202" s="340">
        <v>0</v>
      </c>
      <c r="J202" s="126">
        <v>0</v>
      </c>
      <c r="K202" s="447"/>
      <c r="L202" s="513"/>
      <c r="M202" s="37"/>
    </row>
    <row r="203" spans="1:13" ht="13.5" customHeight="1" hidden="1">
      <c r="A203" s="443"/>
      <c r="B203" s="437" t="s">
        <v>38</v>
      </c>
      <c r="C203" s="338" t="s">
        <v>8</v>
      </c>
      <c r="D203" s="440" t="s">
        <v>78</v>
      </c>
      <c r="E203" s="338">
        <f t="shared" si="11"/>
        <v>0</v>
      </c>
      <c r="F203" s="338">
        <v>0</v>
      </c>
      <c r="G203" s="338">
        <v>0</v>
      </c>
      <c r="H203" s="338">
        <v>0</v>
      </c>
      <c r="I203" s="338">
        <v>0</v>
      </c>
      <c r="J203" s="116">
        <v>0</v>
      </c>
      <c r="K203" s="447"/>
      <c r="L203" s="513"/>
      <c r="M203" s="37"/>
    </row>
    <row r="204" spans="1:13" ht="13.5" customHeight="1" hidden="1">
      <c r="A204" s="444"/>
      <c r="B204" s="438"/>
      <c r="C204" s="339" t="s">
        <v>9</v>
      </c>
      <c r="D204" s="441"/>
      <c r="E204" s="339">
        <f t="shared" si="11"/>
        <v>0</v>
      </c>
      <c r="F204" s="339">
        <v>0</v>
      </c>
      <c r="G204" s="339">
        <v>0</v>
      </c>
      <c r="H204" s="339">
        <v>0</v>
      </c>
      <c r="I204" s="339">
        <v>0</v>
      </c>
      <c r="J204" s="121">
        <v>0</v>
      </c>
      <c r="K204" s="447"/>
      <c r="L204" s="513"/>
      <c r="M204" s="37"/>
    </row>
    <row r="205" spans="1:13" ht="12" customHeight="1" hidden="1">
      <c r="A205" s="445"/>
      <c r="B205" s="439"/>
      <c r="C205" s="340" t="s">
        <v>10</v>
      </c>
      <c r="D205" s="442"/>
      <c r="E205" s="340">
        <f t="shared" si="11"/>
        <v>0</v>
      </c>
      <c r="F205" s="340">
        <v>0</v>
      </c>
      <c r="G205" s="340">
        <v>0</v>
      </c>
      <c r="H205" s="340">
        <v>0</v>
      </c>
      <c r="I205" s="340">
        <v>0</v>
      </c>
      <c r="J205" s="126">
        <v>0</v>
      </c>
      <c r="K205" s="447"/>
      <c r="L205" s="513"/>
      <c r="M205" s="37"/>
    </row>
    <row r="206" spans="1:14" ht="13.5" customHeight="1" hidden="1">
      <c r="A206" s="443"/>
      <c r="B206" s="437" t="s">
        <v>41</v>
      </c>
      <c r="C206" s="338" t="s">
        <v>8</v>
      </c>
      <c r="D206" s="440" t="s">
        <v>77</v>
      </c>
      <c r="E206" s="338">
        <f t="shared" si="11"/>
        <v>0</v>
      </c>
      <c r="F206" s="338">
        <v>0</v>
      </c>
      <c r="G206" s="338">
        <v>0</v>
      </c>
      <c r="H206" s="338">
        <v>0</v>
      </c>
      <c r="I206" s="338">
        <v>0</v>
      </c>
      <c r="J206" s="116">
        <v>0</v>
      </c>
      <c r="K206" s="447"/>
      <c r="L206" s="513"/>
      <c r="M206" s="37"/>
      <c r="N206" s="6"/>
    </row>
    <row r="207" spans="1:14" ht="13.5" customHeight="1" hidden="1">
      <c r="A207" s="444"/>
      <c r="B207" s="438"/>
      <c r="C207" s="339" t="s">
        <v>9</v>
      </c>
      <c r="D207" s="441"/>
      <c r="E207" s="339">
        <f t="shared" si="11"/>
        <v>0</v>
      </c>
      <c r="F207" s="339">
        <v>0</v>
      </c>
      <c r="G207" s="339">
        <v>0</v>
      </c>
      <c r="H207" s="339">
        <v>0</v>
      </c>
      <c r="I207" s="339">
        <v>0</v>
      </c>
      <c r="J207" s="121">
        <v>0</v>
      </c>
      <c r="K207" s="447"/>
      <c r="L207" s="513"/>
      <c r="M207" s="37"/>
      <c r="N207" s="6"/>
    </row>
    <row r="208" spans="1:13" ht="13.5" customHeight="1" hidden="1">
      <c r="A208" s="445"/>
      <c r="B208" s="439"/>
      <c r="C208" s="340" t="s">
        <v>10</v>
      </c>
      <c r="D208" s="442"/>
      <c r="E208" s="340">
        <f t="shared" si="11"/>
        <v>0</v>
      </c>
      <c r="F208" s="340">
        <v>0</v>
      </c>
      <c r="G208" s="340">
        <v>0</v>
      </c>
      <c r="H208" s="340">
        <v>0</v>
      </c>
      <c r="I208" s="340">
        <v>0</v>
      </c>
      <c r="J208" s="126">
        <v>0</v>
      </c>
      <c r="K208" s="447"/>
      <c r="L208" s="513"/>
      <c r="M208" s="37"/>
    </row>
    <row r="209" spans="1:13" ht="13.5" customHeight="1" hidden="1">
      <c r="A209" s="443"/>
      <c r="B209" s="437" t="s">
        <v>39</v>
      </c>
      <c r="C209" s="338" t="s">
        <v>8</v>
      </c>
      <c r="D209" s="440" t="s">
        <v>76</v>
      </c>
      <c r="E209" s="338">
        <f t="shared" si="11"/>
        <v>0</v>
      </c>
      <c r="F209" s="338">
        <v>0</v>
      </c>
      <c r="G209" s="338">
        <v>0</v>
      </c>
      <c r="H209" s="338">
        <v>0</v>
      </c>
      <c r="I209" s="338">
        <v>0</v>
      </c>
      <c r="J209" s="116" t="s">
        <v>90</v>
      </c>
      <c r="K209" s="447"/>
      <c r="L209" s="513"/>
      <c r="M209" s="37"/>
    </row>
    <row r="210" spans="1:13" ht="13.5" customHeight="1" hidden="1">
      <c r="A210" s="444"/>
      <c r="B210" s="438"/>
      <c r="C210" s="339" t="s">
        <v>9</v>
      </c>
      <c r="D210" s="441"/>
      <c r="E210" s="339">
        <f t="shared" si="11"/>
        <v>0</v>
      </c>
      <c r="F210" s="339">
        <v>0</v>
      </c>
      <c r="G210" s="339">
        <v>0</v>
      </c>
      <c r="H210" s="339">
        <v>0</v>
      </c>
      <c r="I210" s="339">
        <v>0</v>
      </c>
      <c r="J210" s="121">
        <v>0</v>
      </c>
      <c r="K210" s="447"/>
      <c r="L210" s="513"/>
      <c r="M210" s="37"/>
    </row>
    <row r="211" spans="1:13" ht="13.5" customHeight="1" hidden="1">
      <c r="A211" s="445"/>
      <c r="B211" s="439"/>
      <c r="C211" s="340" t="s">
        <v>10</v>
      </c>
      <c r="D211" s="442"/>
      <c r="E211" s="340">
        <f t="shared" si="11"/>
        <v>0</v>
      </c>
      <c r="F211" s="340">
        <v>0</v>
      </c>
      <c r="G211" s="340">
        <v>0</v>
      </c>
      <c r="H211" s="340">
        <v>0</v>
      </c>
      <c r="I211" s="340">
        <v>0</v>
      </c>
      <c r="J211" s="126">
        <v>0</v>
      </c>
      <c r="K211" s="447"/>
      <c r="L211" s="513"/>
      <c r="M211" s="37"/>
    </row>
    <row r="212" spans="1:15" ht="13.5" customHeight="1" hidden="1">
      <c r="A212" s="443"/>
      <c r="B212" s="437" t="s">
        <v>40</v>
      </c>
      <c r="C212" s="338" t="s">
        <v>8</v>
      </c>
      <c r="D212" s="440">
        <f>E212+E213+E214</f>
        <v>0</v>
      </c>
      <c r="E212" s="338">
        <f t="shared" si="11"/>
        <v>0</v>
      </c>
      <c r="F212" s="338">
        <v>0</v>
      </c>
      <c r="G212" s="338">
        <v>0</v>
      </c>
      <c r="H212" s="338">
        <v>0</v>
      </c>
      <c r="I212" s="338">
        <v>0</v>
      </c>
      <c r="J212" s="116">
        <v>0</v>
      </c>
      <c r="K212" s="447"/>
      <c r="L212" s="513"/>
      <c r="M212" s="37"/>
      <c r="O212" s="6"/>
    </row>
    <row r="213" spans="1:13" ht="13.5" customHeight="1" hidden="1">
      <c r="A213" s="444"/>
      <c r="B213" s="438"/>
      <c r="C213" s="339" t="s">
        <v>9</v>
      </c>
      <c r="D213" s="441"/>
      <c r="E213" s="339">
        <f t="shared" si="11"/>
        <v>0</v>
      </c>
      <c r="F213" s="339">
        <v>0</v>
      </c>
      <c r="G213" s="339">
        <v>0</v>
      </c>
      <c r="H213" s="339">
        <v>0</v>
      </c>
      <c r="I213" s="339">
        <v>0</v>
      </c>
      <c r="J213" s="121">
        <v>0</v>
      </c>
      <c r="K213" s="447"/>
      <c r="L213" s="513"/>
      <c r="M213" s="37"/>
    </row>
    <row r="214" spans="1:13" ht="13.5" customHeight="1" hidden="1">
      <c r="A214" s="445"/>
      <c r="B214" s="439"/>
      <c r="C214" s="340" t="s">
        <v>10</v>
      </c>
      <c r="D214" s="441"/>
      <c r="E214" s="340">
        <f t="shared" si="11"/>
        <v>0</v>
      </c>
      <c r="F214" s="340">
        <v>0</v>
      </c>
      <c r="G214" s="340">
        <v>0</v>
      </c>
      <c r="H214" s="340">
        <v>0</v>
      </c>
      <c r="I214" s="340">
        <v>0</v>
      </c>
      <c r="J214" s="126">
        <v>0</v>
      </c>
      <c r="K214" s="447"/>
      <c r="L214" s="513"/>
      <c r="M214" s="37"/>
    </row>
    <row r="215" spans="1:13" ht="13.5" customHeight="1">
      <c r="A215" s="404" t="s">
        <v>150</v>
      </c>
      <c r="B215" s="407" t="s">
        <v>66</v>
      </c>
      <c r="C215" s="66" t="s">
        <v>8</v>
      </c>
      <c r="D215" s="410">
        <f>D218+D221+D224</f>
        <v>4244000</v>
      </c>
      <c r="E215" s="335">
        <f t="shared" si="11"/>
        <v>0</v>
      </c>
      <c r="F215" s="135">
        <f>F218+F221+F224</f>
        <v>0</v>
      </c>
      <c r="G215" s="135">
        <f>G218+G221+G224</f>
        <v>0</v>
      </c>
      <c r="H215" s="135">
        <f>H218+H221+H224</f>
        <v>0</v>
      </c>
      <c r="I215" s="135">
        <f>I218+I221+I224</f>
        <v>0</v>
      </c>
      <c r="J215" s="66">
        <f>J218+J221+J224</f>
        <v>0</v>
      </c>
      <c r="K215" s="447"/>
      <c r="L215" s="513"/>
      <c r="M215" s="37"/>
    </row>
    <row r="216" spans="1:13" ht="12.75">
      <c r="A216" s="405"/>
      <c r="B216" s="408"/>
      <c r="C216" s="72" t="s">
        <v>9</v>
      </c>
      <c r="D216" s="411"/>
      <c r="E216" s="336">
        <f t="shared" si="11"/>
        <v>0</v>
      </c>
      <c r="F216" s="139">
        <f>F219+F222+F225</f>
        <v>0</v>
      </c>
      <c r="G216" s="139">
        <f aca="true" t="shared" si="13" ref="G216:J217">G219+G222+G225</f>
        <v>0</v>
      </c>
      <c r="H216" s="139">
        <f t="shared" si="13"/>
        <v>0</v>
      </c>
      <c r="I216" s="139">
        <f t="shared" si="13"/>
        <v>0</v>
      </c>
      <c r="J216" s="72">
        <f t="shared" si="13"/>
        <v>0</v>
      </c>
      <c r="K216" s="447"/>
      <c r="L216" s="513"/>
      <c r="M216" s="37"/>
    </row>
    <row r="217" spans="1:13" ht="20.25" customHeight="1" thickBot="1">
      <c r="A217" s="406"/>
      <c r="B217" s="409"/>
      <c r="C217" s="78" t="s">
        <v>10</v>
      </c>
      <c r="D217" s="412"/>
      <c r="E217" s="337">
        <f t="shared" si="11"/>
        <v>0</v>
      </c>
      <c r="F217" s="142">
        <f>F220+F223+F226</f>
        <v>0</v>
      </c>
      <c r="G217" s="142">
        <f t="shared" si="13"/>
        <v>0</v>
      </c>
      <c r="H217" s="142">
        <f t="shared" si="13"/>
        <v>0</v>
      </c>
      <c r="I217" s="142">
        <f t="shared" si="13"/>
        <v>0</v>
      </c>
      <c r="J217" s="78">
        <f t="shared" si="13"/>
        <v>0</v>
      </c>
      <c r="K217" s="447"/>
      <c r="L217" s="513"/>
      <c r="M217" s="37"/>
    </row>
    <row r="218" spans="1:13" ht="13.5" customHeight="1" hidden="1">
      <c r="A218" s="443"/>
      <c r="B218" s="437" t="s">
        <v>46</v>
      </c>
      <c r="C218" s="338" t="s">
        <v>8</v>
      </c>
      <c r="D218" s="441" t="s">
        <v>72</v>
      </c>
      <c r="E218" s="338">
        <f t="shared" si="11"/>
        <v>0</v>
      </c>
      <c r="F218" s="338">
        <v>0</v>
      </c>
      <c r="G218" s="338">
        <v>0</v>
      </c>
      <c r="H218" s="338">
        <v>0</v>
      </c>
      <c r="I218" s="338">
        <v>0</v>
      </c>
      <c r="J218" s="116">
        <v>0</v>
      </c>
      <c r="K218" s="447"/>
      <c r="L218" s="513"/>
      <c r="M218" s="37"/>
    </row>
    <row r="219" spans="1:13" ht="13.5" customHeight="1" hidden="1">
      <c r="A219" s="444"/>
      <c r="B219" s="438"/>
      <c r="C219" s="339" t="s">
        <v>9</v>
      </c>
      <c r="D219" s="441"/>
      <c r="E219" s="339">
        <f t="shared" si="11"/>
        <v>0</v>
      </c>
      <c r="F219" s="339">
        <v>0</v>
      </c>
      <c r="G219" s="339">
        <v>0</v>
      </c>
      <c r="H219" s="339">
        <v>0</v>
      </c>
      <c r="I219" s="339">
        <v>0</v>
      </c>
      <c r="J219" s="121">
        <v>0</v>
      </c>
      <c r="K219" s="447"/>
      <c r="L219" s="513"/>
      <c r="M219" s="37"/>
    </row>
    <row r="220" spans="1:13" ht="12" customHeight="1" hidden="1">
      <c r="A220" s="445"/>
      <c r="B220" s="439"/>
      <c r="C220" s="340" t="s">
        <v>10</v>
      </c>
      <c r="D220" s="442"/>
      <c r="E220" s="340">
        <f t="shared" si="11"/>
        <v>0</v>
      </c>
      <c r="F220" s="340">
        <v>0</v>
      </c>
      <c r="G220" s="340">
        <v>0</v>
      </c>
      <c r="H220" s="340">
        <v>0</v>
      </c>
      <c r="I220" s="340">
        <v>0</v>
      </c>
      <c r="J220" s="126">
        <v>0</v>
      </c>
      <c r="K220" s="447"/>
      <c r="L220" s="513"/>
      <c r="M220" s="37"/>
    </row>
    <row r="221" spans="1:15" ht="13.5" customHeight="1" hidden="1">
      <c r="A221" s="443"/>
      <c r="B221" s="437" t="s">
        <v>45</v>
      </c>
      <c r="C221" s="338" t="s">
        <v>8</v>
      </c>
      <c r="D221" s="440" t="s">
        <v>73</v>
      </c>
      <c r="E221" s="338">
        <f t="shared" si="11"/>
        <v>0</v>
      </c>
      <c r="F221" s="338">
        <v>0</v>
      </c>
      <c r="G221" s="338">
        <v>0</v>
      </c>
      <c r="H221" s="338">
        <v>0</v>
      </c>
      <c r="I221" s="338">
        <v>0</v>
      </c>
      <c r="J221" s="116">
        <v>0</v>
      </c>
      <c r="K221" s="447"/>
      <c r="L221" s="513"/>
      <c r="M221" s="37"/>
      <c r="O221" s="6"/>
    </row>
    <row r="222" spans="1:13" ht="13.5" customHeight="1" hidden="1">
      <c r="A222" s="444"/>
      <c r="B222" s="438"/>
      <c r="C222" s="339" t="s">
        <v>9</v>
      </c>
      <c r="D222" s="441"/>
      <c r="E222" s="339">
        <f t="shared" si="11"/>
        <v>0</v>
      </c>
      <c r="F222" s="339">
        <v>0</v>
      </c>
      <c r="G222" s="339">
        <v>0</v>
      </c>
      <c r="H222" s="339">
        <v>0</v>
      </c>
      <c r="I222" s="339">
        <v>0</v>
      </c>
      <c r="J222" s="121">
        <v>0</v>
      </c>
      <c r="K222" s="447"/>
      <c r="L222" s="513"/>
      <c r="M222" s="37"/>
    </row>
    <row r="223" spans="1:13" ht="13.5" customHeight="1" hidden="1">
      <c r="A223" s="445"/>
      <c r="B223" s="439"/>
      <c r="C223" s="340" t="s">
        <v>10</v>
      </c>
      <c r="D223" s="442"/>
      <c r="E223" s="340">
        <f t="shared" si="11"/>
        <v>0</v>
      </c>
      <c r="F223" s="340">
        <v>0</v>
      </c>
      <c r="G223" s="340"/>
      <c r="H223" s="340">
        <v>0</v>
      </c>
      <c r="I223" s="340">
        <v>0</v>
      </c>
      <c r="J223" s="126">
        <v>0</v>
      </c>
      <c r="K223" s="447"/>
      <c r="L223" s="513"/>
      <c r="M223" s="37"/>
    </row>
    <row r="224" spans="1:13" ht="13.5" customHeight="1" hidden="1">
      <c r="A224" s="443"/>
      <c r="B224" s="437" t="s">
        <v>38</v>
      </c>
      <c r="C224" s="338" t="s">
        <v>8</v>
      </c>
      <c r="D224" s="440" t="s">
        <v>74</v>
      </c>
      <c r="E224" s="338">
        <f t="shared" si="11"/>
        <v>0</v>
      </c>
      <c r="F224" s="338">
        <v>0</v>
      </c>
      <c r="G224" s="338">
        <v>0</v>
      </c>
      <c r="H224" s="338">
        <v>0</v>
      </c>
      <c r="I224" s="338">
        <v>0</v>
      </c>
      <c r="J224" s="116">
        <v>0</v>
      </c>
      <c r="K224" s="447"/>
      <c r="L224" s="513"/>
      <c r="M224" s="37"/>
    </row>
    <row r="225" spans="1:13" ht="13.5" customHeight="1" hidden="1">
      <c r="A225" s="444"/>
      <c r="B225" s="438"/>
      <c r="C225" s="339" t="s">
        <v>9</v>
      </c>
      <c r="D225" s="441"/>
      <c r="E225" s="339">
        <f t="shared" si="11"/>
        <v>0</v>
      </c>
      <c r="F225" s="339">
        <v>0</v>
      </c>
      <c r="G225" s="339">
        <v>0</v>
      </c>
      <c r="H225" s="339">
        <v>0</v>
      </c>
      <c r="I225" s="339">
        <v>0</v>
      </c>
      <c r="J225" s="121">
        <v>0</v>
      </c>
      <c r="K225" s="447"/>
      <c r="L225" s="513"/>
      <c r="M225" s="37"/>
    </row>
    <row r="226" spans="1:13" ht="13.5" customHeight="1" hidden="1">
      <c r="A226" s="445"/>
      <c r="B226" s="439"/>
      <c r="C226" s="340" t="s">
        <v>10</v>
      </c>
      <c r="D226" s="441"/>
      <c r="E226" s="340">
        <f t="shared" si="11"/>
        <v>0</v>
      </c>
      <c r="F226" s="340">
        <v>0</v>
      </c>
      <c r="G226" s="340">
        <v>0</v>
      </c>
      <c r="H226" s="340">
        <v>0</v>
      </c>
      <c r="I226" s="340">
        <v>0</v>
      </c>
      <c r="J226" s="126">
        <v>0</v>
      </c>
      <c r="K226" s="447"/>
      <c r="L226" s="513"/>
      <c r="M226" s="37"/>
    </row>
    <row r="227" spans="1:13" ht="13.5" customHeight="1">
      <c r="A227" s="404" t="s">
        <v>151</v>
      </c>
      <c r="B227" s="407" t="s">
        <v>67</v>
      </c>
      <c r="C227" s="66" t="s">
        <v>8</v>
      </c>
      <c r="D227" s="410">
        <f>D230+D233+D236</f>
        <v>5805100</v>
      </c>
      <c r="E227" s="335">
        <f t="shared" si="11"/>
        <v>0</v>
      </c>
      <c r="F227" s="135">
        <f aca="true" t="shared" si="14" ref="F227:J229">F230+F233+F236</f>
        <v>0</v>
      </c>
      <c r="G227" s="135">
        <f t="shared" si="14"/>
        <v>0</v>
      </c>
      <c r="H227" s="135">
        <f t="shared" si="14"/>
        <v>0</v>
      </c>
      <c r="I227" s="135">
        <f t="shared" si="14"/>
        <v>0</v>
      </c>
      <c r="J227" s="66">
        <f t="shared" si="14"/>
        <v>0</v>
      </c>
      <c r="K227" s="447"/>
      <c r="L227" s="513"/>
      <c r="M227" s="37"/>
    </row>
    <row r="228" spans="1:13" ht="12.75">
      <c r="A228" s="405"/>
      <c r="B228" s="408"/>
      <c r="C228" s="72" t="s">
        <v>9</v>
      </c>
      <c r="D228" s="411"/>
      <c r="E228" s="336">
        <f t="shared" si="11"/>
        <v>0</v>
      </c>
      <c r="F228" s="139">
        <f t="shared" si="14"/>
        <v>0</v>
      </c>
      <c r="G228" s="139">
        <f t="shared" si="14"/>
        <v>0</v>
      </c>
      <c r="H228" s="139">
        <f t="shared" si="14"/>
        <v>0</v>
      </c>
      <c r="I228" s="139">
        <f t="shared" si="14"/>
        <v>0</v>
      </c>
      <c r="J228" s="72">
        <f t="shared" si="14"/>
        <v>0</v>
      </c>
      <c r="K228" s="447"/>
      <c r="L228" s="513"/>
      <c r="M228" s="37"/>
    </row>
    <row r="229" spans="1:13" ht="19.5" customHeight="1" thickBot="1">
      <c r="A229" s="406"/>
      <c r="B229" s="409"/>
      <c r="C229" s="78" t="s">
        <v>10</v>
      </c>
      <c r="D229" s="412"/>
      <c r="E229" s="337">
        <f t="shared" si="11"/>
        <v>0</v>
      </c>
      <c r="F229" s="142">
        <f t="shared" si="14"/>
        <v>0</v>
      </c>
      <c r="G229" s="142">
        <f t="shared" si="14"/>
        <v>0</v>
      </c>
      <c r="H229" s="142">
        <f t="shared" si="14"/>
        <v>0</v>
      </c>
      <c r="I229" s="142">
        <f t="shared" si="14"/>
        <v>0</v>
      </c>
      <c r="J229" s="78">
        <f t="shared" si="14"/>
        <v>0</v>
      </c>
      <c r="K229" s="447"/>
      <c r="L229" s="513"/>
      <c r="M229" s="37"/>
    </row>
    <row r="230" spans="1:13" ht="16.5" customHeight="1" hidden="1">
      <c r="A230" s="443"/>
      <c r="B230" s="437" t="s">
        <v>44</v>
      </c>
      <c r="C230" s="338" t="s">
        <v>8</v>
      </c>
      <c r="D230" s="441" t="s">
        <v>75</v>
      </c>
      <c r="E230" s="338">
        <f t="shared" si="11"/>
        <v>0</v>
      </c>
      <c r="F230" s="338">
        <v>0</v>
      </c>
      <c r="G230" s="338">
        <v>0</v>
      </c>
      <c r="H230" s="338">
        <v>0</v>
      </c>
      <c r="I230" s="338">
        <v>0</v>
      </c>
      <c r="J230" s="116">
        <v>0</v>
      </c>
      <c r="K230" s="447"/>
      <c r="L230" s="513"/>
      <c r="M230" s="37"/>
    </row>
    <row r="231" spans="1:13" ht="13.5" customHeight="1" hidden="1">
      <c r="A231" s="444"/>
      <c r="B231" s="438"/>
      <c r="C231" s="339" t="s">
        <v>9</v>
      </c>
      <c r="D231" s="441"/>
      <c r="E231" s="339">
        <f t="shared" si="11"/>
        <v>0</v>
      </c>
      <c r="F231" s="339">
        <v>0</v>
      </c>
      <c r="G231" s="339">
        <v>0</v>
      </c>
      <c r="H231" s="339">
        <v>0</v>
      </c>
      <c r="I231" s="339">
        <v>0</v>
      </c>
      <c r="J231" s="121">
        <v>0</v>
      </c>
      <c r="K231" s="447"/>
      <c r="L231" s="513"/>
      <c r="M231" s="37"/>
    </row>
    <row r="232" spans="1:13" ht="13.5" customHeight="1" hidden="1">
      <c r="A232" s="445"/>
      <c r="B232" s="439"/>
      <c r="C232" s="340" t="s">
        <v>10</v>
      </c>
      <c r="D232" s="442"/>
      <c r="E232" s="340">
        <f t="shared" si="11"/>
        <v>0</v>
      </c>
      <c r="F232" s="340">
        <v>0</v>
      </c>
      <c r="G232" s="340">
        <v>0</v>
      </c>
      <c r="H232" s="340">
        <v>0</v>
      </c>
      <c r="I232" s="340">
        <v>0</v>
      </c>
      <c r="J232" s="126">
        <v>0</v>
      </c>
      <c r="K232" s="447"/>
      <c r="L232" s="513"/>
      <c r="M232" s="37"/>
    </row>
    <row r="233" spans="1:15" ht="14.25" customHeight="1" hidden="1">
      <c r="A233" s="443"/>
      <c r="B233" s="437" t="s">
        <v>45</v>
      </c>
      <c r="C233" s="338" t="s">
        <v>8</v>
      </c>
      <c r="D233" s="440" t="s">
        <v>80</v>
      </c>
      <c r="E233" s="338">
        <f t="shared" si="11"/>
        <v>0</v>
      </c>
      <c r="F233" s="338">
        <v>0</v>
      </c>
      <c r="G233" s="338">
        <v>0</v>
      </c>
      <c r="H233" s="338">
        <v>0</v>
      </c>
      <c r="I233" s="338">
        <v>0</v>
      </c>
      <c r="J233" s="116">
        <v>0</v>
      </c>
      <c r="K233" s="447"/>
      <c r="L233" s="513"/>
      <c r="M233" s="37"/>
      <c r="O233" s="6"/>
    </row>
    <row r="234" spans="1:15" ht="11.25" customHeight="1" hidden="1">
      <c r="A234" s="444"/>
      <c r="B234" s="438"/>
      <c r="C234" s="339" t="s">
        <v>9</v>
      </c>
      <c r="D234" s="441"/>
      <c r="E234" s="339">
        <f t="shared" si="11"/>
        <v>0</v>
      </c>
      <c r="F234" s="339">
        <v>0</v>
      </c>
      <c r="G234" s="339">
        <v>0</v>
      </c>
      <c r="H234" s="339">
        <v>0</v>
      </c>
      <c r="I234" s="339">
        <v>0</v>
      </c>
      <c r="J234" s="121">
        <v>0</v>
      </c>
      <c r="K234" s="447"/>
      <c r="L234" s="513"/>
      <c r="M234" s="37"/>
      <c r="O234" s="6"/>
    </row>
    <row r="235" spans="1:15" ht="15" customHeight="1" hidden="1">
      <c r="A235" s="445"/>
      <c r="B235" s="439"/>
      <c r="C235" s="340" t="s">
        <v>10</v>
      </c>
      <c r="D235" s="442"/>
      <c r="E235" s="340">
        <f t="shared" si="11"/>
        <v>0</v>
      </c>
      <c r="F235" s="340">
        <v>0</v>
      </c>
      <c r="G235" s="340">
        <v>0</v>
      </c>
      <c r="H235" s="340">
        <v>0</v>
      </c>
      <c r="I235" s="340">
        <v>0</v>
      </c>
      <c r="J235" s="126">
        <v>0</v>
      </c>
      <c r="K235" s="447"/>
      <c r="L235" s="513"/>
      <c r="M235" s="37"/>
      <c r="O235" s="6"/>
    </row>
    <row r="236" spans="1:15" ht="13.5" customHeight="1" hidden="1">
      <c r="A236" s="443"/>
      <c r="B236" s="437" t="s">
        <v>38</v>
      </c>
      <c r="C236" s="338" t="s">
        <v>8</v>
      </c>
      <c r="D236" s="440" t="s">
        <v>81</v>
      </c>
      <c r="E236" s="338">
        <f t="shared" si="11"/>
        <v>0</v>
      </c>
      <c r="F236" s="338">
        <v>0</v>
      </c>
      <c r="G236" s="338">
        <v>0</v>
      </c>
      <c r="H236" s="338">
        <v>0</v>
      </c>
      <c r="I236" s="338">
        <v>0</v>
      </c>
      <c r="J236" s="116">
        <v>0</v>
      </c>
      <c r="K236" s="447"/>
      <c r="L236" s="513"/>
      <c r="M236" s="37"/>
      <c r="O236" s="6"/>
    </row>
    <row r="237" spans="1:15" ht="13.5" customHeight="1" hidden="1">
      <c r="A237" s="444"/>
      <c r="B237" s="438"/>
      <c r="C237" s="339" t="s">
        <v>9</v>
      </c>
      <c r="D237" s="441"/>
      <c r="E237" s="339">
        <f t="shared" si="11"/>
        <v>0</v>
      </c>
      <c r="F237" s="339">
        <v>0</v>
      </c>
      <c r="G237" s="339">
        <v>0</v>
      </c>
      <c r="H237" s="339">
        <v>0</v>
      </c>
      <c r="I237" s="339">
        <v>0</v>
      </c>
      <c r="J237" s="121">
        <v>0</v>
      </c>
      <c r="K237" s="447"/>
      <c r="L237" s="513"/>
      <c r="M237" s="37"/>
      <c r="O237" s="6"/>
    </row>
    <row r="238" spans="1:15" ht="13.5" customHeight="1" hidden="1">
      <c r="A238" s="445"/>
      <c r="B238" s="439"/>
      <c r="C238" s="340" t="s">
        <v>10</v>
      </c>
      <c r="D238" s="441"/>
      <c r="E238" s="340">
        <f t="shared" si="11"/>
        <v>0</v>
      </c>
      <c r="F238" s="340">
        <v>0</v>
      </c>
      <c r="G238" s="340">
        <v>0</v>
      </c>
      <c r="H238" s="340">
        <v>0</v>
      </c>
      <c r="I238" s="340">
        <v>0</v>
      </c>
      <c r="J238" s="126">
        <v>0</v>
      </c>
      <c r="K238" s="447"/>
      <c r="L238" s="513"/>
      <c r="M238" s="37"/>
      <c r="O238" s="6"/>
    </row>
    <row r="239" spans="1:15" ht="13.5" customHeight="1">
      <c r="A239" s="404" t="s">
        <v>152</v>
      </c>
      <c r="B239" s="407" t="s">
        <v>68</v>
      </c>
      <c r="C239" s="66" t="s">
        <v>8</v>
      </c>
      <c r="D239" s="410">
        <f>D242+D245+D248</f>
        <v>4784000</v>
      </c>
      <c r="E239" s="335">
        <f t="shared" si="11"/>
        <v>0</v>
      </c>
      <c r="F239" s="135">
        <f aca="true" t="shared" si="15" ref="F239:J241">F242+F245+F248</f>
        <v>0</v>
      </c>
      <c r="G239" s="135">
        <f t="shared" si="15"/>
        <v>0</v>
      </c>
      <c r="H239" s="135">
        <f t="shared" si="15"/>
        <v>0</v>
      </c>
      <c r="I239" s="135">
        <f t="shared" si="15"/>
        <v>0</v>
      </c>
      <c r="J239" s="66">
        <f t="shared" si="15"/>
        <v>0</v>
      </c>
      <c r="K239" s="447"/>
      <c r="L239" s="513"/>
      <c r="M239" s="37"/>
      <c r="O239" s="6"/>
    </row>
    <row r="240" spans="1:15" ht="12.75">
      <c r="A240" s="405"/>
      <c r="B240" s="408"/>
      <c r="C240" s="72" t="s">
        <v>9</v>
      </c>
      <c r="D240" s="411"/>
      <c r="E240" s="336">
        <f t="shared" si="11"/>
        <v>0</v>
      </c>
      <c r="F240" s="139">
        <f t="shared" si="15"/>
        <v>0</v>
      </c>
      <c r="G240" s="139">
        <f t="shared" si="15"/>
        <v>0</v>
      </c>
      <c r="H240" s="139">
        <f t="shared" si="15"/>
        <v>0</v>
      </c>
      <c r="I240" s="139">
        <f t="shared" si="15"/>
        <v>0</v>
      </c>
      <c r="J240" s="72">
        <f t="shared" si="15"/>
        <v>0</v>
      </c>
      <c r="K240" s="447"/>
      <c r="L240" s="513"/>
      <c r="M240" s="37"/>
      <c r="O240" s="6"/>
    </row>
    <row r="241" spans="1:15" ht="11.25" customHeight="1" thickBot="1">
      <c r="A241" s="406"/>
      <c r="B241" s="409"/>
      <c r="C241" s="78" t="s">
        <v>10</v>
      </c>
      <c r="D241" s="412"/>
      <c r="E241" s="337">
        <f t="shared" si="11"/>
        <v>0</v>
      </c>
      <c r="F241" s="142">
        <f t="shared" si="15"/>
        <v>0</v>
      </c>
      <c r="G241" s="142">
        <f t="shared" si="15"/>
        <v>0</v>
      </c>
      <c r="H241" s="142">
        <f t="shared" si="15"/>
        <v>0</v>
      </c>
      <c r="I241" s="142">
        <f t="shared" si="15"/>
        <v>0</v>
      </c>
      <c r="J241" s="78">
        <f t="shared" si="15"/>
        <v>0</v>
      </c>
      <c r="K241" s="447"/>
      <c r="L241" s="513"/>
      <c r="M241" s="37"/>
      <c r="O241" s="6"/>
    </row>
    <row r="242" spans="1:15" ht="13.5" customHeight="1" hidden="1">
      <c r="A242" s="443"/>
      <c r="B242" s="437" t="s">
        <v>46</v>
      </c>
      <c r="C242" s="338" t="s">
        <v>8</v>
      </c>
      <c r="D242" s="441" t="s">
        <v>82</v>
      </c>
      <c r="E242" s="338">
        <f t="shared" si="11"/>
        <v>0</v>
      </c>
      <c r="F242" s="338">
        <v>0</v>
      </c>
      <c r="G242" s="338">
        <v>0</v>
      </c>
      <c r="H242" s="338">
        <v>0</v>
      </c>
      <c r="I242" s="338">
        <v>0</v>
      </c>
      <c r="J242" s="116">
        <v>0</v>
      </c>
      <c r="K242" s="447"/>
      <c r="L242" s="513"/>
      <c r="M242" s="37"/>
      <c r="O242" s="6"/>
    </row>
    <row r="243" spans="1:16" ht="13.5" customHeight="1" hidden="1">
      <c r="A243" s="444"/>
      <c r="B243" s="438"/>
      <c r="C243" s="339" t="s">
        <v>9</v>
      </c>
      <c r="D243" s="441"/>
      <c r="E243" s="339">
        <f t="shared" si="11"/>
        <v>0</v>
      </c>
      <c r="F243" s="339">
        <v>0</v>
      </c>
      <c r="G243" s="339">
        <v>0</v>
      </c>
      <c r="H243" s="339">
        <v>0</v>
      </c>
      <c r="I243" s="339">
        <v>0</v>
      </c>
      <c r="J243" s="121">
        <v>0</v>
      </c>
      <c r="K243" s="447"/>
      <c r="L243" s="513"/>
      <c r="M243" s="37"/>
      <c r="O243" s="6"/>
      <c r="P243" s="6"/>
    </row>
    <row r="244" spans="1:15" ht="13.5" customHeight="1" hidden="1">
      <c r="A244" s="445"/>
      <c r="B244" s="439"/>
      <c r="C244" s="340" t="s">
        <v>10</v>
      </c>
      <c r="D244" s="442"/>
      <c r="E244" s="340">
        <f t="shared" si="11"/>
        <v>0</v>
      </c>
      <c r="F244" s="340">
        <v>0</v>
      </c>
      <c r="G244" s="340">
        <v>0</v>
      </c>
      <c r="H244" s="340"/>
      <c r="I244" s="340">
        <v>0</v>
      </c>
      <c r="J244" s="126">
        <v>0</v>
      </c>
      <c r="K244" s="447"/>
      <c r="L244" s="513"/>
      <c r="M244" s="37"/>
      <c r="O244" s="6"/>
    </row>
    <row r="245" spans="1:15" ht="13.5" customHeight="1" hidden="1">
      <c r="A245" s="443"/>
      <c r="B245" s="437" t="s">
        <v>45</v>
      </c>
      <c r="C245" s="338" t="s">
        <v>8</v>
      </c>
      <c r="D245" s="440" t="s">
        <v>83</v>
      </c>
      <c r="E245" s="338">
        <f t="shared" si="11"/>
        <v>0</v>
      </c>
      <c r="F245" s="338">
        <v>0</v>
      </c>
      <c r="G245" s="338">
        <v>0</v>
      </c>
      <c r="H245" s="338">
        <v>0</v>
      </c>
      <c r="I245" s="338">
        <v>0</v>
      </c>
      <c r="J245" s="116">
        <v>0</v>
      </c>
      <c r="K245" s="447"/>
      <c r="L245" s="513"/>
      <c r="M245" s="37"/>
      <c r="O245" s="6"/>
    </row>
    <row r="246" spans="1:15" ht="13.5" customHeight="1" hidden="1">
      <c r="A246" s="444"/>
      <c r="B246" s="438"/>
      <c r="C246" s="339" t="s">
        <v>9</v>
      </c>
      <c r="D246" s="441"/>
      <c r="E246" s="339">
        <f t="shared" si="11"/>
        <v>0</v>
      </c>
      <c r="F246" s="339">
        <v>0</v>
      </c>
      <c r="G246" s="339">
        <v>0</v>
      </c>
      <c r="H246" s="339">
        <v>0</v>
      </c>
      <c r="I246" s="339">
        <v>0</v>
      </c>
      <c r="J246" s="121">
        <v>0</v>
      </c>
      <c r="K246" s="447"/>
      <c r="L246" s="513"/>
      <c r="M246" s="37"/>
      <c r="O246" s="6"/>
    </row>
    <row r="247" spans="1:15" ht="13.5" customHeight="1" hidden="1">
      <c r="A247" s="445"/>
      <c r="B247" s="439"/>
      <c r="C247" s="340" t="s">
        <v>10</v>
      </c>
      <c r="D247" s="442"/>
      <c r="E247" s="340">
        <f t="shared" si="11"/>
        <v>0</v>
      </c>
      <c r="F247" s="340">
        <v>0</v>
      </c>
      <c r="G247" s="340">
        <v>0</v>
      </c>
      <c r="H247" s="340">
        <v>0</v>
      </c>
      <c r="I247" s="340">
        <v>0</v>
      </c>
      <c r="J247" s="126">
        <v>0</v>
      </c>
      <c r="K247" s="447"/>
      <c r="L247" s="513"/>
      <c r="M247" s="37"/>
      <c r="O247" s="6"/>
    </row>
    <row r="248" spans="1:13" ht="13.5" customHeight="1" hidden="1">
      <c r="A248" s="443"/>
      <c r="B248" s="437" t="s">
        <v>38</v>
      </c>
      <c r="C248" s="338" t="s">
        <v>8</v>
      </c>
      <c r="D248" s="440" t="s">
        <v>84</v>
      </c>
      <c r="E248" s="338">
        <f t="shared" si="11"/>
        <v>0</v>
      </c>
      <c r="F248" s="338">
        <v>0</v>
      </c>
      <c r="G248" s="338">
        <v>0</v>
      </c>
      <c r="H248" s="338">
        <v>0</v>
      </c>
      <c r="I248" s="338">
        <v>0</v>
      </c>
      <c r="J248" s="116">
        <v>0</v>
      </c>
      <c r="K248" s="447"/>
      <c r="L248" s="513"/>
      <c r="M248" s="37"/>
    </row>
    <row r="249" spans="1:13" ht="13.5" customHeight="1" hidden="1">
      <c r="A249" s="444"/>
      <c r="B249" s="438"/>
      <c r="C249" s="339" t="s">
        <v>9</v>
      </c>
      <c r="D249" s="441"/>
      <c r="E249" s="339">
        <f t="shared" si="11"/>
        <v>0</v>
      </c>
      <c r="F249" s="339">
        <v>0</v>
      </c>
      <c r="G249" s="339">
        <v>0</v>
      </c>
      <c r="H249" s="339">
        <v>0</v>
      </c>
      <c r="I249" s="339">
        <v>0</v>
      </c>
      <c r="J249" s="121">
        <v>0</v>
      </c>
      <c r="K249" s="447"/>
      <c r="L249" s="513"/>
      <c r="M249" s="37"/>
    </row>
    <row r="250" spans="1:13" ht="13.5" customHeight="1" hidden="1">
      <c r="A250" s="445"/>
      <c r="B250" s="439"/>
      <c r="C250" s="340" t="s">
        <v>10</v>
      </c>
      <c r="D250" s="441"/>
      <c r="E250" s="340">
        <f t="shared" si="11"/>
        <v>0</v>
      </c>
      <c r="F250" s="340">
        <v>0</v>
      </c>
      <c r="G250" s="340">
        <v>0</v>
      </c>
      <c r="H250" s="340">
        <v>0</v>
      </c>
      <c r="I250" s="340">
        <v>0</v>
      </c>
      <c r="J250" s="342">
        <v>0</v>
      </c>
      <c r="K250" s="447"/>
      <c r="L250" s="513"/>
      <c r="M250" s="37"/>
    </row>
    <row r="251" spans="1:13" ht="13.5" customHeight="1">
      <c r="A251" s="404" t="s">
        <v>162</v>
      </c>
      <c r="B251" s="407" t="s">
        <v>69</v>
      </c>
      <c r="C251" s="66" t="s">
        <v>8</v>
      </c>
      <c r="D251" s="410">
        <f>D254+D257+D260</f>
        <v>4046000</v>
      </c>
      <c r="E251" s="335">
        <f t="shared" si="11"/>
        <v>0</v>
      </c>
      <c r="F251" s="135">
        <f aca="true" t="shared" si="16" ref="F251:J253">F254+F257+F260</f>
        <v>0</v>
      </c>
      <c r="G251" s="135">
        <f t="shared" si="16"/>
        <v>0</v>
      </c>
      <c r="H251" s="135">
        <f t="shared" si="16"/>
        <v>0</v>
      </c>
      <c r="I251" s="135">
        <f t="shared" si="16"/>
        <v>0</v>
      </c>
      <c r="J251" s="66">
        <f t="shared" si="16"/>
        <v>0</v>
      </c>
      <c r="K251" s="447"/>
      <c r="L251" s="513"/>
      <c r="M251" s="37"/>
    </row>
    <row r="252" spans="1:13" ht="12.75">
      <c r="A252" s="405"/>
      <c r="B252" s="408"/>
      <c r="C252" s="72" t="s">
        <v>9</v>
      </c>
      <c r="D252" s="411"/>
      <c r="E252" s="336">
        <f t="shared" si="11"/>
        <v>0</v>
      </c>
      <c r="F252" s="139">
        <f t="shared" si="16"/>
        <v>0</v>
      </c>
      <c r="G252" s="139">
        <f t="shared" si="16"/>
        <v>0</v>
      </c>
      <c r="H252" s="139">
        <f t="shared" si="16"/>
        <v>0</v>
      </c>
      <c r="I252" s="139">
        <f t="shared" si="16"/>
        <v>0</v>
      </c>
      <c r="J252" s="72">
        <f t="shared" si="16"/>
        <v>0</v>
      </c>
      <c r="K252" s="447"/>
      <c r="L252" s="513"/>
      <c r="M252" s="37"/>
    </row>
    <row r="253" spans="1:13" ht="11.25" customHeight="1" thickBot="1">
      <c r="A253" s="406"/>
      <c r="B253" s="409"/>
      <c r="C253" s="78" t="s">
        <v>10</v>
      </c>
      <c r="D253" s="412"/>
      <c r="E253" s="337">
        <f t="shared" si="11"/>
        <v>0</v>
      </c>
      <c r="F253" s="142">
        <f t="shared" si="16"/>
        <v>0</v>
      </c>
      <c r="G253" s="142">
        <f t="shared" si="16"/>
        <v>0</v>
      </c>
      <c r="H253" s="142">
        <f t="shared" si="16"/>
        <v>0</v>
      </c>
      <c r="I253" s="142">
        <f t="shared" si="16"/>
        <v>0</v>
      </c>
      <c r="J253" s="78">
        <f t="shared" si="16"/>
        <v>0</v>
      </c>
      <c r="K253" s="447"/>
      <c r="L253" s="513"/>
      <c r="M253" s="37"/>
    </row>
    <row r="254" spans="1:13" ht="13.5" customHeight="1" hidden="1">
      <c r="A254" s="434"/>
      <c r="B254" s="437" t="s">
        <v>42</v>
      </c>
      <c r="C254" s="338" t="s">
        <v>8</v>
      </c>
      <c r="D254" s="441" t="s">
        <v>85</v>
      </c>
      <c r="E254" s="338">
        <f t="shared" si="11"/>
        <v>0</v>
      </c>
      <c r="F254" s="338">
        <v>0</v>
      </c>
      <c r="G254" s="338">
        <v>0</v>
      </c>
      <c r="H254" s="338">
        <v>0</v>
      </c>
      <c r="I254" s="338">
        <v>0</v>
      </c>
      <c r="J254" s="116">
        <v>0</v>
      </c>
      <c r="K254" s="447"/>
      <c r="L254" s="513"/>
      <c r="M254" s="37"/>
    </row>
    <row r="255" spans="1:13" ht="13.5" customHeight="1" hidden="1">
      <c r="A255" s="435"/>
      <c r="B255" s="438"/>
      <c r="C255" s="339" t="s">
        <v>9</v>
      </c>
      <c r="D255" s="441"/>
      <c r="E255" s="339">
        <f aca="true" t="shared" si="17" ref="E255:E278">SUM(F255:J255)</f>
        <v>0</v>
      </c>
      <c r="F255" s="339">
        <v>0</v>
      </c>
      <c r="G255" s="339">
        <v>0</v>
      </c>
      <c r="H255" s="339">
        <v>0</v>
      </c>
      <c r="I255" s="339">
        <v>0</v>
      </c>
      <c r="J255" s="121">
        <v>0</v>
      </c>
      <c r="K255" s="447"/>
      <c r="L255" s="513"/>
      <c r="M255" s="37"/>
    </row>
    <row r="256" spans="1:13" ht="13.5" customHeight="1" hidden="1">
      <c r="A256" s="436"/>
      <c r="B256" s="439"/>
      <c r="C256" s="340" t="s">
        <v>10</v>
      </c>
      <c r="D256" s="442"/>
      <c r="E256" s="340">
        <f t="shared" si="17"/>
        <v>0</v>
      </c>
      <c r="F256" s="340">
        <v>0</v>
      </c>
      <c r="G256" s="340">
        <v>0</v>
      </c>
      <c r="H256" s="340">
        <v>0</v>
      </c>
      <c r="I256" s="340">
        <v>0</v>
      </c>
      <c r="J256" s="126">
        <v>0</v>
      </c>
      <c r="K256" s="447"/>
      <c r="L256" s="513"/>
      <c r="M256" s="37"/>
    </row>
    <row r="257" spans="1:14" ht="13.5" customHeight="1" hidden="1">
      <c r="A257" s="434"/>
      <c r="B257" s="437" t="s">
        <v>43</v>
      </c>
      <c r="C257" s="338" t="s">
        <v>8</v>
      </c>
      <c r="D257" s="440" t="s">
        <v>86</v>
      </c>
      <c r="E257" s="338">
        <f t="shared" si="17"/>
        <v>0</v>
      </c>
      <c r="F257" s="338">
        <v>0</v>
      </c>
      <c r="G257" s="338">
        <v>0</v>
      </c>
      <c r="H257" s="338">
        <v>0</v>
      </c>
      <c r="I257" s="338">
        <v>0</v>
      </c>
      <c r="J257" s="116">
        <v>0</v>
      </c>
      <c r="K257" s="447"/>
      <c r="L257" s="513"/>
      <c r="M257" s="37"/>
      <c r="N257" s="6"/>
    </row>
    <row r="258" spans="1:13" ht="13.5" customHeight="1" hidden="1">
      <c r="A258" s="435"/>
      <c r="B258" s="438"/>
      <c r="C258" s="339" t="s">
        <v>9</v>
      </c>
      <c r="D258" s="441"/>
      <c r="E258" s="339">
        <f t="shared" si="17"/>
        <v>0</v>
      </c>
      <c r="F258" s="339">
        <v>0</v>
      </c>
      <c r="G258" s="339">
        <v>0</v>
      </c>
      <c r="H258" s="339">
        <v>0</v>
      </c>
      <c r="I258" s="339">
        <v>0</v>
      </c>
      <c r="J258" s="121">
        <v>0</v>
      </c>
      <c r="K258" s="447"/>
      <c r="L258" s="513"/>
      <c r="M258" s="37"/>
    </row>
    <row r="259" spans="1:13" ht="13.5" customHeight="1" hidden="1">
      <c r="A259" s="436"/>
      <c r="B259" s="439"/>
      <c r="C259" s="340" t="s">
        <v>10</v>
      </c>
      <c r="D259" s="442"/>
      <c r="E259" s="340">
        <f t="shared" si="17"/>
        <v>0</v>
      </c>
      <c r="F259" s="340">
        <v>0</v>
      </c>
      <c r="G259" s="340">
        <v>0</v>
      </c>
      <c r="H259" s="340">
        <v>0</v>
      </c>
      <c r="I259" s="340">
        <v>0</v>
      </c>
      <c r="J259" s="126">
        <v>0</v>
      </c>
      <c r="K259" s="447"/>
      <c r="L259" s="513"/>
      <c r="M259" s="37"/>
    </row>
    <row r="260" spans="1:13" ht="13.5" customHeight="1" hidden="1">
      <c r="A260" s="434"/>
      <c r="B260" s="437" t="s">
        <v>38</v>
      </c>
      <c r="C260" s="338" t="s">
        <v>8</v>
      </c>
      <c r="D260" s="440" t="s">
        <v>87</v>
      </c>
      <c r="E260" s="338">
        <f t="shared" si="17"/>
        <v>0</v>
      </c>
      <c r="F260" s="338">
        <v>0</v>
      </c>
      <c r="G260" s="338">
        <v>0</v>
      </c>
      <c r="H260" s="338">
        <v>0</v>
      </c>
      <c r="I260" s="338">
        <v>0</v>
      </c>
      <c r="J260" s="116">
        <v>0</v>
      </c>
      <c r="K260" s="447"/>
      <c r="L260" s="513"/>
      <c r="M260" s="37"/>
    </row>
    <row r="261" spans="1:13" ht="13.5" customHeight="1" hidden="1">
      <c r="A261" s="435"/>
      <c r="B261" s="438"/>
      <c r="C261" s="339" t="s">
        <v>9</v>
      </c>
      <c r="D261" s="441"/>
      <c r="E261" s="339">
        <f t="shared" si="17"/>
        <v>0</v>
      </c>
      <c r="F261" s="339">
        <v>0</v>
      </c>
      <c r="G261" s="339">
        <v>0</v>
      </c>
      <c r="H261" s="339">
        <v>0</v>
      </c>
      <c r="I261" s="339">
        <v>0</v>
      </c>
      <c r="J261" s="121">
        <v>0</v>
      </c>
      <c r="K261" s="447"/>
      <c r="L261" s="513"/>
      <c r="M261" s="37"/>
    </row>
    <row r="262" spans="1:13" ht="12" customHeight="1" hidden="1">
      <c r="A262" s="436"/>
      <c r="B262" s="439"/>
      <c r="C262" s="340" t="s">
        <v>10</v>
      </c>
      <c r="D262" s="441"/>
      <c r="E262" s="340">
        <f t="shared" si="17"/>
        <v>0</v>
      </c>
      <c r="F262" s="340">
        <v>0</v>
      </c>
      <c r="G262" s="340">
        <v>0</v>
      </c>
      <c r="H262" s="340">
        <v>0</v>
      </c>
      <c r="I262" s="340">
        <v>0</v>
      </c>
      <c r="J262" s="126">
        <v>0</v>
      </c>
      <c r="K262" s="447"/>
      <c r="L262" s="513"/>
      <c r="M262" s="37"/>
    </row>
    <row r="263" spans="1:13" ht="13.5" customHeight="1">
      <c r="A263" s="404" t="s">
        <v>163</v>
      </c>
      <c r="B263" s="407" t="s">
        <v>70</v>
      </c>
      <c r="C263" s="66" t="s">
        <v>8</v>
      </c>
      <c r="D263" s="410">
        <f>D266+D269</f>
        <v>2265000</v>
      </c>
      <c r="E263" s="335">
        <f t="shared" si="17"/>
        <v>0</v>
      </c>
      <c r="F263" s="135">
        <f>F266+F269</f>
        <v>0</v>
      </c>
      <c r="G263" s="135">
        <f>G266+G269</f>
        <v>0</v>
      </c>
      <c r="H263" s="135">
        <f>H266+H269</f>
        <v>0</v>
      </c>
      <c r="I263" s="135">
        <f>I266+I269</f>
        <v>0</v>
      </c>
      <c r="J263" s="66">
        <f>J266+J269</f>
        <v>0</v>
      </c>
      <c r="K263" s="447"/>
      <c r="L263" s="513"/>
      <c r="M263" s="37"/>
    </row>
    <row r="264" spans="1:13" ht="12.75">
      <c r="A264" s="405"/>
      <c r="B264" s="408"/>
      <c r="C264" s="72" t="s">
        <v>9</v>
      </c>
      <c r="D264" s="411"/>
      <c r="E264" s="336">
        <f t="shared" si="17"/>
        <v>0</v>
      </c>
      <c r="F264" s="139">
        <f aca="true" t="shared" si="18" ref="F264:J265">F267+F270</f>
        <v>0</v>
      </c>
      <c r="G264" s="139">
        <f t="shared" si="18"/>
        <v>0</v>
      </c>
      <c r="H264" s="139">
        <f t="shared" si="18"/>
        <v>0</v>
      </c>
      <c r="I264" s="139">
        <f t="shared" si="18"/>
        <v>0</v>
      </c>
      <c r="J264" s="72">
        <f t="shared" si="18"/>
        <v>0</v>
      </c>
      <c r="K264" s="447"/>
      <c r="L264" s="513"/>
      <c r="M264" s="37"/>
    </row>
    <row r="265" spans="1:13" ht="15" customHeight="1" thickBot="1">
      <c r="A265" s="406"/>
      <c r="B265" s="409"/>
      <c r="C265" s="78" t="s">
        <v>10</v>
      </c>
      <c r="D265" s="412"/>
      <c r="E265" s="337">
        <f t="shared" si="17"/>
        <v>0</v>
      </c>
      <c r="F265" s="142">
        <f t="shared" si="18"/>
        <v>0</v>
      </c>
      <c r="G265" s="142">
        <f t="shared" si="18"/>
        <v>0</v>
      </c>
      <c r="H265" s="142">
        <f t="shared" si="18"/>
        <v>0</v>
      </c>
      <c r="I265" s="142">
        <f t="shared" si="18"/>
        <v>0</v>
      </c>
      <c r="J265" s="78">
        <f t="shared" si="18"/>
        <v>0</v>
      </c>
      <c r="K265" s="448"/>
      <c r="L265" s="513"/>
      <c r="M265" s="37"/>
    </row>
    <row r="266" spans="1:13" ht="15.75" customHeight="1" hidden="1">
      <c r="A266" s="413"/>
      <c r="B266" s="416" t="s">
        <v>42</v>
      </c>
      <c r="C266" s="343" t="s">
        <v>8</v>
      </c>
      <c r="D266" s="419">
        <v>954000</v>
      </c>
      <c r="E266" s="343">
        <f t="shared" si="17"/>
        <v>0</v>
      </c>
      <c r="F266" s="343">
        <v>0</v>
      </c>
      <c r="G266" s="343">
        <v>0</v>
      </c>
      <c r="H266" s="343">
        <v>0</v>
      </c>
      <c r="I266" s="343">
        <v>0</v>
      </c>
      <c r="J266" s="118">
        <v>0</v>
      </c>
      <c r="K266" s="344"/>
      <c r="L266" s="513"/>
      <c r="M266" s="37"/>
    </row>
    <row r="267" spans="1:13" ht="13.5" customHeight="1" hidden="1">
      <c r="A267" s="414"/>
      <c r="B267" s="417"/>
      <c r="C267" s="345" t="s">
        <v>9</v>
      </c>
      <c r="D267" s="419"/>
      <c r="E267" s="345">
        <f t="shared" si="17"/>
        <v>0</v>
      </c>
      <c r="F267" s="345">
        <v>0</v>
      </c>
      <c r="G267" s="345">
        <v>0</v>
      </c>
      <c r="H267" s="345">
        <v>0</v>
      </c>
      <c r="I267" s="345">
        <v>0</v>
      </c>
      <c r="J267" s="123">
        <v>0</v>
      </c>
      <c r="K267" s="346"/>
      <c r="L267" s="513"/>
      <c r="M267" s="37"/>
    </row>
    <row r="268" spans="1:13" ht="13.5" customHeight="1" hidden="1">
      <c r="A268" s="415"/>
      <c r="B268" s="418"/>
      <c r="C268" s="347" t="s">
        <v>10</v>
      </c>
      <c r="D268" s="420"/>
      <c r="E268" s="347">
        <f t="shared" si="17"/>
        <v>0</v>
      </c>
      <c r="F268" s="347">
        <v>0</v>
      </c>
      <c r="G268" s="347">
        <v>0</v>
      </c>
      <c r="H268" s="347">
        <v>0</v>
      </c>
      <c r="I268" s="347">
        <v>0</v>
      </c>
      <c r="J268" s="128">
        <v>0</v>
      </c>
      <c r="K268" s="348"/>
      <c r="L268" s="513"/>
      <c r="M268" s="37"/>
    </row>
    <row r="269" spans="1:14" ht="13.5" customHeight="1" hidden="1">
      <c r="A269" s="413"/>
      <c r="B269" s="416" t="s">
        <v>43</v>
      </c>
      <c r="C269" s="343" t="s">
        <v>8</v>
      </c>
      <c r="D269" s="427">
        <v>1311000</v>
      </c>
      <c r="E269" s="343">
        <f t="shared" si="17"/>
        <v>0</v>
      </c>
      <c r="F269" s="343">
        <v>0</v>
      </c>
      <c r="G269" s="343">
        <v>0</v>
      </c>
      <c r="H269" s="343">
        <v>0</v>
      </c>
      <c r="I269" s="343">
        <v>0</v>
      </c>
      <c r="J269" s="118">
        <v>0</v>
      </c>
      <c r="K269" s="344"/>
      <c r="L269" s="513"/>
      <c r="M269" s="37"/>
      <c r="N269" s="6"/>
    </row>
    <row r="270" spans="1:13" ht="13.5" customHeight="1" hidden="1">
      <c r="A270" s="414"/>
      <c r="B270" s="417"/>
      <c r="C270" s="345" t="s">
        <v>9</v>
      </c>
      <c r="D270" s="419"/>
      <c r="E270" s="345">
        <f t="shared" si="17"/>
        <v>0</v>
      </c>
      <c r="F270" s="345">
        <v>0</v>
      </c>
      <c r="G270" s="345">
        <v>0</v>
      </c>
      <c r="H270" s="345">
        <v>0</v>
      </c>
      <c r="I270" s="345">
        <v>0</v>
      </c>
      <c r="J270" s="123">
        <v>0</v>
      </c>
      <c r="K270" s="346"/>
      <c r="L270" s="513"/>
      <c r="M270" s="37"/>
    </row>
    <row r="271" spans="1:13" ht="13.5" customHeight="1" hidden="1">
      <c r="A271" s="415"/>
      <c r="B271" s="418"/>
      <c r="C271" s="347" t="s">
        <v>10</v>
      </c>
      <c r="D271" s="419"/>
      <c r="E271" s="347">
        <f t="shared" si="17"/>
        <v>0</v>
      </c>
      <c r="F271" s="347">
        <v>0</v>
      </c>
      <c r="G271" s="347">
        <v>0</v>
      </c>
      <c r="H271" s="347">
        <v>0</v>
      </c>
      <c r="I271" s="347">
        <v>0</v>
      </c>
      <c r="J271" s="128">
        <v>0</v>
      </c>
      <c r="K271" s="348"/>
      <c r="L271" s="513"/>
      <c r="M271" s="37"/>
    </row>
    <row r="272" spans="1:13" ht="13.5" customHeight="1">
      <c r="A272" s="428"/>
      <c r="B272" s="431" t="s">
        <v>21</v>
      </c>
      <c r="C272" s="349" t="s">
        <v>8</v>
      </c>
      <c r="D272" s="401"/>
      <c r="E272" s="303">
        <f t="shared" si="17"/>
        <v>45899.6</v>
      </c>
      <c r="F272" s="304">
        <f>F191+F194+F215+F227+F239+F251+F263</f>
        <v>45899.6</v>
      </c>
      <c r="G272" s="304">
        <f aca="true" t="shared" si="19" ref="G272:J273">G191+G194+G215+G227+G239+G251+G263</f>
        <v>0</v>
      </c>
      <c r="H272" s="304">
        <f t="shared" si="19"/>
        <v>0</v>
      </c>
      <c r="I272" s="304">
        <f t="shared" si="19"/>
        <v>0</v>
      </c>
      <c r="J272" s="304">
        <f t="shared" si="19"/>
        <v>0</v>
      </c>
      <c r="K272" s="305"/>
      <c r="L272" s="513"/>
      <c r="M272" s="37"/>
    </row>
    <row r="273" spans="1:13" ht="12.75">
      <c r="A273" s="429"/>
      <c r="B273" s="432"/>
      <c r="C273" s="350" t="s">
        <v>9</v>
      </c>
      <c r="D273" s="402"/>
      <c r="E273" s="307">
        <f t="shared" si="17"/>
        <v>405000</v>
      </c>
      <c r="F273" s="308">
        <f>F192+F195+F216+F228+F240+F252+F264</f>
        <v>405000</v>
      </c>
      <c r="G273" s="308">
        <f t="shared" si="19"/>
        <v>0</v>
      </c>
      <c r="H273" s="308">
        <f t="shared" si="19"/>
        <v>0</v>
      </c>
      <c r="I273" s="308">
        <f t="shared" si="19"/>
        <v>0</v>
      </c>
      <c r="J273" s="308">
        <f t="shared" si="19"/>
        <v>0</v>
      </c>
      <c r="K273" s="309"/>
      <c r="L273" s="513"/>
      <c r="M273" s="37"/>
    </row>
    <row r="274" spans="1:13" ht="13.5" thickBot="1">
      <c r="A274" s="430"/>
      <c r="B274" s="433"/>
      <c r="C274" s="351" t="s">
        <v>10</v>
      </c>
      <c r="D274" s="403"/>
      <c r="E274" s="311">
        <f t="shared" si="17"/>
        <v>0</v>
      </c>
      <c r="F274" s="312">
        <f>F193+F196+F217+F229+F241+F253+F265</f>
        <v>0</v>
      </c>
      <c r="G274" s="312">
        <f>G193+G196+G217+G229+G241+G253+G265</f>
        <v>0</v>
      </c>
      <c r="H274" s="312">
        <f>H193+H196+H217+H229+H241+H253+H265</f>
        <v>0</v>
      </c>
      <c r="I274" s="312">
        <f>I193+I196+I217+I229+I241+I253+I265</f>
        <v>0</v>
      </c>
      <c r="J274" s="312">
        <f>J193+J196+J217+J229+J241+J253+J265</f>
        <v>0</v>
      </c>
      <c r="K274" s="313"/>
      <c r="L274" s="513"/>
      <c r="M274" s="37"/>
    </row>
    <row r="275" spans="1:14" ht="15.75" customHeight="1">
      <c r="A275" s="395"/>
      <c r="B275" s="398" t="s">
        <v>22</v>
      </c>
      <c r="C275" s="352" t="s">
        <v>8</v>
      </c>
      <c r="D275" s="353">
        <f>SUM(F275:J275)</f>
        <v>78084401.08000001</v>
      </c>
      <c r="E275" s="354">
        <f t="shared" si="17"/>
        <v>78084401.08000001</v>
      </c>
      <c r="F275" s="355">
        <f aca="true" t="shared" si="20" ref="F275:J277">F164+F183+F272</f>
        <v>28421539.830000002</v>
      </c>
      <c r="G275" s="355">
        <f t="shared" si="20"/>
        <v>25036446.93</v>
      </c>
      <c r="H275" s="355">
        <f t="shared" si="20"/>
        <v>5325101.539999999</v>
      </c>
      <c r="I275" s="355">
        <f t="shared" si="20"/>
        <v>9626322.05</v>
      </c>
      <c r="J275" s="355">
        <f t="shared" si="20"/>
        <v>9674990.729999999</v>
      </c>
      <c r="K275" s="356"/>
      <c r="L275" s="513"/>
      <c r="M275" s="38"/>
      <c r="N275" s="19"/>
    </row>
    <row r="276" spans="1:14" ht="15.75">
      <c r="A276" s="396"/>
      <c r="B276" s="399"/>
      <c r="C276" s="357" t="s">
        <v>9</v>
      </c>
      <c r="D276" s="358">
        <f>SUM(F276:J276)</f>
        <v>16980977.21</v>
      </c>
      <c r="E276" s="359">
        <f t="shared" si="17"/>
        <v>16980977.21</v>
      </c>
      <c r="F276" s="360">
        <f t="shared" si="20"/>
        <v>405000</v>
      </c>
      <c r="G276" s="360">
        <f t="shared" si="20"/>
        <v>7182949.96</v>
      </c>
      <c r="H276" s="360">
        <f t="shared" si="20"/>
        <v>6774316.94</v>
      </c>
      <c r="I276" s="360">
        <f t="shared" si="20"/>
        <v>1046710.31</v>
      </c>
      <c r="J276" s="360">
        <f t="shared" si="20"/>
        <v>1572000</v>
      </c>
      <c r="K276" s="361"/>
      <c r="L276" s="513"/>
      <c r="M276" s="38"/>
      <c r="N276" s="19"/>
    </row>
    <row r="277" spans="1:13" ht="16.5" customHeight="1" thickBot="1">
      <c r="A277" s="397"/>
      <c r="B277" s="400"/>
      <c r="C277" s="362" t="s">
        <v>10</v>
      </c>
      <c r="D277" s="358">
        <f>SUM(F277:J277)</f>
        <v>192807372.98</v>
      </c>
      <c r="E277" s="363">
        <f t="shared" si="17"/>
        <v>192807372.98</v>
      </c>
      <c r="F277" s="364">
        <f t="shared" si="20"/>
        <v>3752000</v>
      </c>
      <c r="G277" s="364">
        <f t="shared" si="20"/>
        <v>83520975.97999999</v>
      </c>
      <c r="H277" s="364">
        <f t="shared" si="20"/>
        <v>85534397</v>
      </c>
      <c r="I277" s="364">
        <f t="shared" si="20"/>
        <v>20000000</v>
      </c>
      <c r="J277" s="364">
        <f t="shared" si="20"/>
        <v>0</v>
      </c>
      <c r="K277" s="365"/>
      <c r="L277" s="52"/>
      <c r="M277" s="37"/>
    </row>
    <row r="278" spans="1:13" ht="16.5" thickBot="1">
      <c r="A278" s="366"/>
      <c r="B278" s="367" t="s">
        <v>49</v>
      </c>
      <c r="C278" s="368"/>
      <c r="D278" s="369">
        <f>F278+G278+H278+I278+J278</f>
        <v>287872751.27000004</v>
      </c>
      <c r="E278" s="370">
        <f t="shared" si="17"/>
        <v>287872751.27000004</v>
      </c>
      <c r="F278" s="371">
        <f>SUM(F275:F277)</f>
        <v>32578539.830000002</v>
      </c>
      <c r="G278" s="371">
        <f>SUM(G275:G277)</f>
        <v>115740372.86999999</v>
      </c>
      <c r="H278" s="371">
        <f>SUM(H275:H277)</f>
        <v>97633815.48</v>
      </c>
      <c r="I278" s="371">
        <f>SUM(I275:I277)</f>
        <v>30673032.36</v>
      </c>
      <c r="J278" s="371">
        <f>SUM(J275:J277)</f>
        <v>11246990.729999999</v>
      </c>
      <c r="K278" s="372"/>
      <c r="L278" s="53"/>
      <c r="M278" s="31"/>
    </row>
    <row r="279" spans="4:11" ht="15.75">
      <c r="D279" s="10"/>
      <c r="E279" s="10"/>
      <c r="F279" s="10"/>
      <c r="G279" s="10"/>
      <c r="H279" s="10"/>
      <c r="I279" s="10"/>
      <c r="J279" s="11"/>
      <c r="K279" s="11"/>
    </row>
    <row r="280" spans="4:15" ht="15.75">
      <c r="D280" s="421"/>
      <c r="E280" s="6"/>
      <c r="F280" s="25"/>
      <c r="G280" s="25"/>
      <c r="H280" s="25"/>
      <c r="I280" s="25"/>
      <c r="J280" s="25"/>
      <c r="O280" s="19"/>
    </row>
    <row r="281" spans="4:15" ht="15.75">
      <c r="D281" s="421"/>
      <c r="E281" s="19"/>
      <c r="F281" s="31"/>
      <c r="G281" s="25"/>
      <c r="H281" s="32"/>
      <c r="I281" s="32"/>
      <c r="J281" s="19"/>
      <c r="O281" s="19"/>
    </row>
    <row r="282" spans="4:15" ht="15.75">
      <c r="D282" s="57"/>
      <c r="E282" s="19"/>
      <c r="F282" s="31"/>
      <c r="G282" s="25"/>
      <c r="H282" s="32"/>
      <c r="I282" s="32"/>
      <c r="J282" s="19"/>
      <c r="O282" s="19"/>
    </row>
    <row r="283" spans="4:15" ht="15.75">
      <c r="D283" s="57"/>
      <c r="E283" s="19"/>
      <c r="F283" s="31"/>
      <c r="G283" s="25"/>
      <c r="H283" s="32"/>
      <c r="I283" s="32"/>
      <c r="J283" s="19"/>
      <c r="O283" s="19"/>
    </row>
    <row r="284" spans="4:15" ht="15.75">
      <c r="D284" s="57"/>
      <c r="E284" s="19"/>
      <c r="F284" s="31"/>
      <c r="G284" s="25"/>
      <c r="H284" s="32"/>
      <c r="I284" s="32"/>
      <c r="J284" s="19"/>
      <c r="O284" s="19"/>
    </row>
    <row r="285" spans="4:15" ht="15.75">
      <c r="D285" s="57"/>
      <c r="E285" s="19"/>
      <c r="F285" s="31"/>
      <c r="G285" s="25"/>
      <c r="H285" s="32"/>
      <c r="I285" s="32"/>
      <c r="J285" s="19"/>
      <c r="O285" s="19"/>
    </row>
    <row r="286" spans="4:15" ht="15.75">
      <c r="D286" s="57"/>
      <c r="E286" s="19"/>
      <c r="F286" s="31"/>
      <c r="G286" s="25"/>
      <c r="H286" s="32"/>
      <c r="I286" s="32"/>
      <c r="J286" s="19"/>
      <c r="O286" s="19"/>
    </row>
    <row r="287" spans="4:15" ht="15.75">
      <c r="D287" s="57"/>
      <c r="E287" s="19"/>
      <c r="F287" s="31"/>
      <c r="G287" s="25"/>
      <c r="H287" s="32"/>
      <c r="I287" s="32"/>
      <c r="J287" s="19"/>
      <c r="O287" s="19"/>
    </row>
    <row r="288" spans="4:15" ht="15.75">
      <c r="D288" s="57"/>
      <c r="E288" s="19"/>
      <c r="F288" s="31"/>
      <c r="G288" s="25"/>
      <c r="H288" s="32"/>
      <c r="I288" s="32"/>
      <c r="J288" s="19"/>
      <c r="O288" s="19"/>
    </row>
    <row r="289" spans="4:15" ht="15.75">
      <c r="D289" s="57"/>
      <c r="E289" s="19"/>
      <c r="F289" s="31"/>
      <c r="G289" s="25"/>
      <c r="H289" s="32"/>
      <c r="I289" s="32"/>
      <c r="J289" s="19"/>
      <c r="O289" s="19"/>
    </row>
    <row r="290" spans="4:15" ht="15.75">
      <c r="D290" s="57"/>
      <c r="E290" s="19"/>
      <c r="F290" s="31"/>
      <c r="G290" s="25"/>
      <c r="H290" s="32"/>
      <c r="I290" s="32"/>
      <c r="J290" s="19"/>
      <c r="O290" s="19"/>
    </row>
    <row r="291" spans="4:15" ht="15.75">
      <c r="D291" s="57"/>
      <c r="E291" s="19"/>
      <c r="F291" s="31"/>
      <c r="G291" s="25"/>
      <c r="H291" s="32"/>
      <c r="I291" s="32"/>
      <c r="J291" s="19"/>
      <c r="O291" s="19"/>
    </row>
    <row r="292" spans="4:15" ht="15.75">
      <c r="D292" s="57"/>
      <c r="E292" s="19"/>
      <c r="F292" s="31"/>
      <c r="G292" s="25"/>
      <c r="H292" s="32"/>
      <c r="I292" s="32"/>
      <c r="J292" s="19"/>
      <c r="O292" s="19"/>
    </row>
    <row r="293" spans="4:15" ht="15.75">
      <c r="D293" s="57"/>
      <c r="E293" s="19"/>
      <c r="F293" s="31"/>
      <c r="G293" s="25"/>
      <c r="H293" s="32"/>
      <c r="I293" s="32"/>
      <c r="J293" s="19"/>
      <c r="O293" s="19"/>
    </row>
    <row r="294" spans="4:15" ht="15.75">
      <c r="D294" s="57"/>
      <c r="E294" s="19"/>
      <c r="F294" s="31"/>
      <c r="G294" s="25"/>
      <c r="H294" s="32"/>
      <c r="I294" s="32"/>
      <c r="J294" s="19"/>
      <c r="O294" s="19"/>
    </row>
    <row r="295" spans="4:15" ht="15.75">
      <c r="D295" s="57"/>
      <c r="E295" s="19"/>
      <c r="F295" s="31"/>
      <c r="G295" s="25"/>
      <c r="H295" s="32"/>
      <c r="I295" s="32"/>
      <c r="J295" s="19"/>
      <c r="O295" s="19"/>
    </row>
    <row r="296" spans="4:15" ht="15.75">
      <c r="D296" s="57"/>
      <c r="E296" s="19"/>
      <c r="F296" s="31"/>
      <c r="G296" s="25"/>
      <c r="H296" s="32"/>
      <c r="I296" s="32"/>
      <c r="J296" s="19"/>
      <c r="O296" s="19"/>
    </row>
    <row r="297" spans="4:15" ht="15.75">
      <c r="D297" s="57"/>
      <c r="E297" s="19"/>
      <c r="F297" s="31"/>
      <c r="G297" s="25"/>
      <c r="H297" s="32"/>
      <c r="I297" s="32"/>
      <c r="J297" s="19"/>
      <c r="O297" s="19"/>
    </row>
    <row r="298" spans="4:15" ht="15.75">
      <c r="D298" s="57"/>
      <c r="E298" s="19"/>
      <c r="F298" s="31"/>
      <c r="G298" s="25"/>
      <c r="H298" s="32"/>
      <c r="I298" s="32"/>
      <c r="J298" s="19"/>
      <c r="O298" s="19"/>
    </row>
    <row r="299" spans="4:15" ht="15.75">
      <c r="D299" s="57"/>
      <c r="E299" s="19"/>
      <c r="F299" s="31"/>
      <c r="G299" s="25"/>
      <c r="H299" s="32"/>
      <c r="I299" s="32"/>
      <c r="J299" s="19"/>
      <c r="O299" s="19"/>
    </row>
    <row r="300" spans="4:15" ht="15.75">
      <c r="D300" s="57"/>
      <c r="E300" s="19"/>
      <c r="F300" s="31"/>
      <c r="G300" s="25"/>
      <c r="H300" s="32"/>
      <c r="I300" s="32"/>
      <c r="J300" s="19"/>
      <c r="O300" s="19"/>
    </row>
    <row r="301" spans="4:15" ht="15.75">
      <c r="D301" s="57"/>
      <c r="E301" s="19"/>
      <c r="F301" s="31"/>
      <c r="G301" s="25"/>
      <c r="H301" s="32"/>
      <c r="I301" s="32"/>
      <c r="J301" s="19"/>
      <c r="O301" s="19"/>
    </row>
    <row r="302" spans="4:15" ht="15.75">
      <c r="D302" s="57"/>
      <c r="E302" s="19"/>
      <c r="F302" s="31"/>
      <c r="G302" s="25"/>
      <c r="H302" s="32"/>
      <c r="I302" s="32"/>
      <c r="J302" s="19"/>
      <c r="O302" s="19"/>
    </row>
    <row r="303" spans="4:15" ht="15.75">
      <c r="D303" s="57"/>
      <c r="E303" s="19"/>
      <c r="F303" s="31"/>
      <c r="G303" s="25"/>
      <c r="H303" s="32"/>
      <c r="I303" s="32"/>
      <c r="J303" s="19"/>
      <c r="O303" s="19"/>
    </row>
    <row r="304" spans="4:15" ht="15.75">
      <c r="D304" s="57"/>
      <c r="E304" s="19"/>
      <c r="F304" s="31"/>
      <c r="G304" s="25"/>
      <c r="H304" s="32"/>
      <c r="I304" s="32"/>
      <c r="J304" s="19"/>
      <c r="O304" s="19"/>
    </row>
    <row r="305" spans="5:15" ht="12.75">
      <c r="E305" s="19"/>
      <c r="F305" s="33"/>
      <c r="G305" s="33"/>
      <c r="H305" s="32"/>
      <c r="I305" s="32"/>
      <c r="J305" s="19"/>
      <c r="O305" s="19"/>
    </row>
    <row r="306" spans="2:8" ht="12.75">
      <c r="B306" s="19"/>
      <c r="E306" s="33"/>
      <c r="F306" s="33"/>
      <c r="G306" s="32"/>
      <c r="H306" s="32"/>
    </row>
    <row r="307" spans="7:14" ht="12.75" customHeight="1">
      <c r="G307" s="19"/>
      <c r="H307" s="30"/>
      <c r="I307" s="30"/>
      <c r="N307" s="19"/>
    </row>
    <row r="308" spans="7:14" ht="12.75">
      <c r="G308" s="19"/>
      <c r="N308" s="19"/>
    </row>
    <row r="311" ht="12.75">
      <c r="O311" s="19"/>
    </row>
    <row r="312" ht="12.75">
      <c r="L312" s="19"/>
    </row>
    <row r="322" spans="8:10" ht="12.75">
      <c r="H322" s="54"/>
      <c r="I322" s="54"/>
      <c r="J322" s="54"/>
    </row>
    <row r="323" spans="8:10" ht="12.75">
      <c r="H323" s="55"/>
      <c r="I323" s="56"/>
      <c r="J323" s="54"/>
    </row>
    <row r="324" spans="8:10" ht="12.75">
      <c r="H324" s="54"/>
      <c r="I324" s="54"/>
      <c r="J324" s="54"/>
    </row>
    <row r="325" spans="8:10" ht="12.75">
      <c r="H325" s="55"/>
      <c r="I325" s="56"/>
      <c r="J325" s="54"/>
    </row>
    <row r="326" spans="8:10" ht="12.75">
      <c r="H326" s="54"/>
      <c r="I326" s="54"/>
      <c r="J326" s="54"/>
    </row>
    <row r="327" spans="8:10" ht="12.75">
      <c r="H327" s="56"/>
      <c r="I327" s="54"/>
      <c r="J327" s="54"/>
    </row>
    <row r="328" spans="8:10" ht="12.75">
      <c r="H328" s="54"/>
      <c r="I328" s="54"/>
      <c r="J328" s="54"/>
    </row>
    <row r="329" spans="8:10" ht="12.75">
      <c r="H329" s="54"/>
      <c r="I329" s="54"/>
      <c r="J329" s="54"/>
    </row>
    <row r="330" spans="8:10" ht="12.75">
      <c r="H330" s="54"/>
      <c r="I330" s="54"/>
      <c r="J330" s="54"/>
    </row>
  </sheetData>
  <sheetProtection/>
  <mergeCells count="275">
    <mergeCell ref="B5:I5"/>
    <mergeCell ref="B6:I6"/>
    <mergeCell ref="A8:A9"/>
    <mergeCell ref="B8:B9"/>
    <mergeCell ref="C8:C9"/>
    <mergeCell ref="D8:D9"/>
    <mergeCell ref="E8:E9"/>
    <mergeCell ref="F8:J8"/>
    <mergeCell ref="K8:K9"/>
    <mergeCell ref="L10:L276"/>
    <mergeCell ref="A11:A13"/>
    <mergeCell ref="B11:B13"/>
    <mergeCell ref="D11:D13"/>
    <mergeCell ref="A14:A16"/>
    <mergeCell ref="B14:B16"/>
    <mergeCell ref="D14:D16"/>
    <mergeCell ref="A17:A19"/>
    <mergeCell ref="B17:B19"/>
    <mergeCell ref="D17:D19"/>
    <mergeCell ref="K17:K19"/>
    <mergeCell ref="A20:A22"/>
    <mergeCell ref="B20:B22"/>
    <mergeCell ref="D20:D22"/>
    <mergeCell ref="A23:A25"/>
    <mergeCell ref="B23:B25"/>
    <mergeCell ref="D23:D25"/>
    <mergeCell ref="A26:A28"/>
    <mergeCell ref="B26:B28"/>
    <mergeCell ref="D26:D28"/>
    <mergeCell ref="K26:K28"/>
    <mergeCell ref="A29:A31"/>
    <mergeCell ref="B29:B31"/>
    <mergeCell ref="D29:D31"/>
    <mergeCell ref="A32:A34"/>
    <mergeCell ref="B32:B34"/>
    <mergeCell ref="D32:D34"/>
    <mergeCell ref="A35:A37"/>
    <mergeCell ref="B35:B37"/>
    <mergeCell ref="D35:D37"/>
    <mergeCell ref="A38:A40"/>
    <mergeCell ref="B38:B40"/>
    <mergeCell ref="D38:D40"/>
    <mergeCell ref="K38:K40"/>
    <mergeCell ref="A41:A43"/>
    <mergeCell ref="B41:B43"/>
    <mergeCell ref="D41:D43"/>
    <mergeCell ref="A44:A46"/>
    <mergeCell ref="B44:B46"/>
    <mergeCell ref="D44:D46"/>
    <mergeCell ref="A47:A49"/>
    <mergeCell ref="B47:B49"/>
    <mergeCell ref="D47:D49"/>
    <mergeCell ref="A50:A52"/>
    <mergeCell ref="B50:B52"/>
    <mergeCell ref="A53:A55"/>
    <mergeCell ref="B53:B55"/>
    <mergeCell ref="D53:D55"/>
    <mergeCell ref="A56:A58"/>
    <mergeCell ref="B56:B58"/>
    <mergeCell ref="D56:D58"/>
    <mergeCell ref="A59:A61"/>
    <mergeCell ref="B59:B61"/>
    <mergeCell ref="D59:D61"/>
    <mergeCell ref="A62:A64"/>
    <mergeCell ref="B62:B64"/>
    <mergeCell ref="D62:D64"/>
    <mergeCell ref="A65:A67"/>
    <mergeCell ref="B65:B67"/>
    <mergeCell ref="D65:D67"/>
    <mergeCell ref="A68:A70"/>
    <mergeCell ref="B68:B70"/>
    <mergeCell ref="D68:D70"/>
    <mergeCell ref="A71:A73"/>
    <mergeCell ref="B71:B73"/>
    <mergeCell ref="D71:D73"/>
    <mergeCell ref="A74:A76"/>
    <mergeCell ref="B74:B76"/>
    <mergeCell ref="D74:D76"/>
    <mergeCell ref="K74:K76"/>
    <mergeCell ref="A77:A79"/>
    <mergeCell ref="B77:B79"/>
    <mergeCell ref="D77:D79"/>
    <mergeCell ref="A80:A82"/>
    <mergeCell ref="B80:B82"/>
    <mergeCell ref="D80:D82"/>
    <mergeCell ref="A83:A85"/>
    <mergeCell ref="B83:B85"/>
    <mergeCell ref="D83:D85"/>
    <mergeCell ref="A86:A88"/>
    <mergeCell ref="B86:B88"/>
    <mergeCell ref="D86:D88"/>
    <mergeCell ref="A89:A91"/>
    <mergeCell ref="B89:B91"/>
    <mergeCell ref="D89:D91"/>
    <mergeCell ref="A92:A94"/>
    <mergeCell ref="B92:B94"/>
    <mergeCell ref="D92:D94"/>
    <mergeCell ref="A95:A97"/>
    <mergeCell ref="B95:B97"/>
    <mergeCell ref="D95:D97"/>
    <mergeCell ref="A98:A100"/>
    <mergeCell ref="B98:B100"/>
    <mergeCell ref="D98:D100"/>
    <mergeCell ref="A101:A103"/>
    <mergeCell ref="B101:B103"/>
    <mergeCell ref="D101:D103"/>
    <mergeCell ref="K101:K103"/>
    <mergeCell ref="A104:A106"/>
    <mergeCell ref="B104:B106"/>
    <mergeCell ref="D104:D106"/>
    <mergeCell ref="A107:A109"/>
    <mergeCell ref="B107:B109"/>
    <mergeCell ref="D107:D109"/>
    <mergeCell ref="A110:A112"/>
    <mergeCell ref="B110:B112"/>
    <mergeCell ref="D110:D112"/>
    <mergeCell ref="A113:A115"/>
    <mergeCell ref="B113:B115"/>
    <mergeCell ref="D113:D115"/>
    <mergeCell ref="A116:A118"/>
    <mergeCell ref="B116:B118"/>
    <mergeCell ref="D116:D118"/>
    <mergeCell ref="D128:D130"/>
    <mergeCell ref="A119:A121"/>
    <mergeCell ref="B119:B121"/>
    <mergeCell ref="D119:D121"/>
    <mergeCell ref="A122:A124"/>
    <mergeCell ref="B122:B124"/>
    <mergeCell ref="D122:D124"/>
    <mergeCell ref="B131:B133"/>
    <mergeCell ref="D131:D133"/>
    <mergeCell ref="A134:A136"/>
    <mergeCell ref="B134:B136"/>
    <mergeCell ref="D134:D136"/>
    <mergeCell ref="A125:A127"/>
    <mergeCell ref="B125:B127"/>
    <mergeCell ref="D125:D127"/>
    <mergeCell ref="A128:A130"/>
    <mergeCell ref="B128:B130"/>
    <mergeCell ref="A164:A166"/>
    <mergeCell ref="B164:B166"/>
    <mergeCell ref="D164:D166"/>
    <mergeCell ref="B140:B142"/>
    <mergeCell ref="B161:B163"/>
    <mergeCell ref="D155:D157"/>
    <mergeCell ref="B152:B154"/>
    <mergeCell ref="A158:A160"/>
    <mergeCell ref="B158:B160"/>
    <mergeCell ref="A152:A154"/>
    <mergeCell ref="A167:J167"/>
    <mergeCell ref="A168:A170"/>
    <mergeCell ref="B168:B170"/>
    <mergeCell ref="D168:D170"/>
    <mergeCell ref="A171:A173"/>
    <mergeCell ref="B171:B173"/>
    <mergeCell ref="D171:D173"/>
    <mergeCell ref="A174:A176"/>
    <mergeCell ref="B174:B176"/>
    <mergeCell ref="D174:D176"/>
    <mergeCell ref="A177:A179"/>
    <mergeCell ref="B177:B179"/>
    <mergeCell ref="D177:D179"/>
    <mergeCell ref="A180:A182"/>
    <mergeCell ref="B180:B182"/>
    <mergeCell ref="D180:D182"/>
    <mergeCell ref="A183:A185"/>
    <mergeCell ref="B183:B185"/>
    <mergeCell ref="D183:D185"/>
    <mergeCell ref="A186:A188"/>
    <mergeCell ref="B186:B188"/>
    <mergeCell ref="D186:D188"/>
    <mergeCell ref="A190:J190"/>
    <mergeCell ref="A191:A193"/>
    <mergeCell ref="B191:B193"/>
    <mergeCell ref="D191:D193"/>
    <mergeCell ref="K191:K265"/>
    <mergeCell ref="A194:A196"/>
    <mergeCell ref="B194:B196"/>
    <mergeCell ref="D194:D196"/>
    <mergeCell ref="A197:A199"/>
    <mergeCell ref="B197:B199"/>
    <mergeCell ref="D197:D199"/>
    <mergeCell ref="A200:A202"/>
    <mergeCell ref="B200:B202"/>
    <mergeCell ref="D200:D202"/>
    <mergeCell ref="A203:A205"/>
    <mergeCell ref="B203:B205"/>
    <mergeCell ref="D203:D205"/>
    <mergeCell ref="A206:A208"/>
    <mergeCell ref="B206:B208"/>
    <mergeCell ref="D206:D208"/>
    <mergeCell ref="A209:A211"/>
    <mergeCell ref="B209:B211"/>
    <mergeCell ref="D209:D211"/>
    <mergeCell ref="A212:A214"/>
    <mergeCell ref="B212:B214"/>
    <mergeCell ref="D212:D214"/>
    <mergeCell ref="A215:A217"/>
    <mergeCell ref="B215:B217"/>
    <mergeCell ref="D215:D217"/>
    <mergeCell ref="A218:A220"/>
    <mergeCell ref="B218:B220"/>
    <mergeCell ref="D218:D220"/>
    <mergeCell ref="A221:A223"/>
    <mergeCell ref="B221:B223"/>
    <mergeCell ref="D221:D223"/>
    <mergeCell ref="A224:A226"/>
    <mergeCell ref="B224:B226"/>
    <mergeCell ref="D224:D226"/>
    <mergeCell ref="A227:A229"/>
    <mergeCell ref="B227:B229"/>
    <mergeCell ref="D227:D229"/>
    <mergeCell ref="A230:A232"/>
    <mergeCell ref="B230:B232"/>
    <mergeCell ref="D230:D232"/>
    <mergeCell ref="A233:A235"/>
    <mergeCell ref="B233:B235"/>
    <mergeCell ref="D233:D235"/>
    <mergeCell ref="A236:A238"/>
    <mergeCell ref="B236:B238"/>
    <mergeCell ref="D236:D238"/>
    <mergeCell ref="A239:A241"/>
    <mergeCell ref="B239:B241"/>
    <mergeCell ref="D239:D241"/>
    <mergeCell ref="A242:A244"/>
    <mergeCell ref="B242:B244"/>
    <mergeCell ref="D242:D244"/>
    <mergeCell ref="A245:A247"/>
    <mergeCell ref="B245:B247"/>
    <mergeCell ref="D245:D247"/>
    <mergeCell ref="A248:A250"/>
    <mergeCell ref="B248:B250"/>
    <mergeCell ref="D248:D250"/>
    <mergeCell ref="A251:A253"/>
    <mergeCell ref="B251:B253"/>
    <mergeCell ref="D251:D253"/>
    <mergeCell ref="A254:A256"/>
    <mergeCell ref="B254:B256"/>
    <mergeCell ref="D254:D256"/>
    <mergeCell ref="A257:A259"/>
    <mergeCell ref="B257:B259"/>
    <mergeCell ref="D257:D259"/>
    <mergeCell ref="A260:A262"/>
    <mergeCell ref="B260:B262"/>
    <mergeCell ref="D260:D262"/>
    <mergeCell ref="D280:D281"/>
    <mergeCell ref="A146:A148"/>
    <mergeCell ref="B146:B148"/>
    <mergeCell ref="B149:B151"/>
    <mergeCell ref="B155:B157"/>
    <mergeCell ref="A269:A271"/>
    <mergeCell ref="B269:B271"/>
    <mergeCell ref="D269:D271"/>
    <mergeCell ref="A272:A274"/>
    <mergeCell ref="B272:B274"/>
    <mergeCell ref="A155:A157"/>
    <mergeCell ref="A275:A277"/>
    <mergeCell ref="B275:B277"/>
    <mergeCell ref="D272:D274"/>
    <mergeCell ref="A263:A265"/>
    <mergeCell ref="B263:B265"/>
    <mergeCell ref="D263:D265"/>
    <mergeCell ref="A266:A268"/>
    <mergeCell ref="B266:B268"/>
    <mergeCell ref="D266:D268"/>
    <mergeCell ref="K143:K145"/>
    <mergeCell ref="B143:B145"/>
    <mergeCell ref="A143:A145"/>
    <mergeCell ref="A10:J10"/>
    <mergeCell ref="A140:A142"/>
    <mergeCell ref="A149:A151"/>
    <mergeCell ref="A137:A139"/>
    <mergeCell ref="B137:B139"/>
    <mergeCell ref="D137:D139"/>
    <mergeCell ref="A131:A133"/>
  </mergeCells>
  <printOptions/>
  <pageMargins left="0.7874015748031497" right="0.3937007874015748" top="1.3779527559055118" bottom="0.7874015748031497" header="0" footer="0"/>
  <pageSetup horizontalDpi="600" verticalDpi="600" orientation="landscape" paperSize="9" scale="52" r:id="rId1"/>
  <rowBreaks count="1" manualBreakCount="1"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Дегтярева Юлия Павловна</cp:lastModifiedBy>
  <cp:lastPrinted>2014-04-30T07:25:43Z</cp:lastPrinted>
  <dcterms:created xsi:type="dcterms:W3CDTF">2012-10-22T07:31:42Z</dcterms:created>
  <dcterms:modified xsi:type="dcterms:W3CDTF">2014-04-30T09:37:28Z</dcterms:modified>
  <cp:category/>
  <cp:version/>
  <cp:contentType/>
  <cp:contentStatus/>
</cp:coreProperties>
</file>